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300" windowWidth="20655" windowHeight="11700"/>
  </bookViews>
  <sheets>
    <sheet name="www.business-valuation.net" sheetId="1" r:id="rId1"/>
    <sheet name="Beta and capital structure" sheetId="3" r:id="rId2"/>
  </sheets>
  <calcPr calcId="124519" iterate="1" iterateCount="1000"/>
</workbook>
</file>

<file path=xl/calcChain.xml><?xml version="1.0" encoding="utf-8"?>
<calcChain xmlns="http://schemas.openxmlformats.org/spreadsheetml/2006/main">
  <c r="N22" i="1"/>
  <c r="N8"/>
  <c r="F7" i="3"/>
  <c r="F6"/>
  <c r="F5"/>
  <c r="F4"/>
  <c r="F3"/>
  <c r="F10" s="1"/>
  <c r="N7" i="1" s="1"/>
  <c r="N6" s="1"/>
  <c r="B10" i="3"/>
  <c r="B9"/>
  <c r="E7"/>
  <c r="H7" s="1"/>
  <c r="E6"/>
  <c r="H6" s="1"/>
  <c r="E5"/>
  <c r="H5" s="1"/>
  <c r="E4"/>
  <c r="H4" s="1"/>
  <c r="E3"/>
  <c r="E43" i="1"/>
  <c r="D43"/>
  <c r="C43"/>
  <c r="B43"/>
  <c r="E8"/>
  <c r="D8"/>
  <c r="C8"/>
  <c r="B8"/>
  <c r="F7"/>
  <c r="H11"/>
  <c r="I11" s="1"/>
  <c r="J11" s="1"/>
  <c r="K11" s="1"/>
  <c r="T16"/>
  <c r="T17" s="1"/>
  <c r="T14"/>
  <c r="T13"/>
  <c r="X12"/>
  <c r="Y12" s="1"/>
  <c r="V12"/>
  <c r="U12"/>
  <c r="S12"/>
  <c r="Q15"/>
  <c r="X4"/>
  <c r="Y4" s="1"/>
  <c r="V4"/>
  <c r="U4" s="1"/>
  <c r="T6"/>
  <c r="T5" s="1"/>
  <c r="G3"/>
  <c r="G43" s="1"/>
  <c r="H3"/>
  <c r="I3" s="1"/>
  <c r="J3" s="1"/>
  <c r="K3" s="1"/>
  <c r="K43" s="1"/>
  <c r="H48"/>
  <c r="H54"/>
  <c r="E54"/>
  <c r="D54"/>
  <c r="C54"/>
  <c r="B54"/>
  <c r="H20"/>
  <c r="I20"/>
  <c r="J20"/>
  <c r="K20"/>
  <c r="H14"/>
  <c r="I14" s="1"/>
  <c r="E14"/>
  <c r="D14"/>
  <c r="C14"/>
  <c r="B14"/>
  <c r="E15"/>
  <c r="D15"/>
  <c r="C15"/>
  <c r="B15"/>
  <c r="H5"/>
  <c r="I5" s="1"/>
  <c r="J5" s="1"/>
  <c r="K5" s="1"/>
  <c r="E47"/>
  <c r="C47"/>
  <c r="D47"/>
  <c r="B47"/>
  <c r="N20"/>
  <c r="F9" i="3" l="1"/>
  <c r="H3"/>
  <c r="E10"/>
  <c r="E9"/>
  <c r="H43" i="1"/>
  <c r="I43"/>
  <c r="J43"/>
  <c r="F10"/>
  <c r="T8"/>
  <c r="T9" s="1"/>
  <c r="B48"/>
  <c r="B56" s="1"/>
  <c r="C48"/>
  <c r="C56" s="1"/>
  <c r="D48"/>
  <c r="D56" s="1"/>
  <c r="E48"/>
  <c r="E56" s="1"/>
  <c r="I54"/>
  <c r="I48"/>
  <c r="J14"/>
  <c r="K14" s="1"/>
  <c r="F15"/>
  <c r="F4"/>
  <c r="E20"/>
  <c r="D20"/>
  <c r="C20"/>
  <c r="H27"/>
  <c r="I27" s="1"/>
  <c r="J27" s="1"/>
  <c r="K27" s="1"/>
  <c r="B37" s="1"/>
  <c r="E5"/>
  <c r="D5"/>
  <c r="C5"/>
  <c r="G4"/>
  <c r="D18" i="3" l="1"/>
  <c r="H10"/>
  <c r="C18" s="1"/>
  <c r="F18" s="1"/>
  <c r="N13" i="1" s="1"/>
  <c r="N15" s="1"/>
  <c r="H9" i="3"/>
  <c r="G10" i="1"/>
  <c r="G7" s="1"/>
  <c r="G8" s="1"/>
  <c r="Q23"/>
  <c r="G53"/>
  <c r="G47"/>
  <c r="G56" s="1"/>
  <c r="G57" s="1"/>
  <c r="G19"/>
  <c r="E22"/>
  <c r="D22"/>
  <c r="J54"/>
  <c r="J48"/>
  <c r="G13"/>
  <c r="E57"/>
  <c r="G22"/>
  <c r="B26"/>
  <c r="C57"/>
  <c r="D57"/>
  <c r="K28"/>
  <c r="J28"/>
  <c r="I28"/>
  <c r="H28"/>
  <c r="G28"/>
  <c r="H4"/>
  <c r="B38" l="1"/>
  <c r="Q8" s="1"/>
  <c r="H10"/>
  <c r="H7" s="1"/>
  <c r="H8" s="1"/>
  <c r="H19"/>
  <c r="H53"/>
  <c r="H47"/>
  <c r="H56" s="1"/>
  <c r="H57" s="1"/>
  <c r="K54"/>
  <c r="K48"/>
  <c r="H13"/>
  <c r="Q24"/>
  <c r="G15"/>
  <c r="G17" s="1"/>
  <c r="H22"/>
  <c r="G24"/>
  <c r="G29" s="1"/>
  <c r="I4"/>
  <c r="I10" l="1"/>
  <c r="I7" s="1"/>
  <c r="I8" s="1"/>
  <c r="I19"/>
  <c r="I53"/>
  <c r="I47"/>
  <c r="I56" s="1"/>
  <c r="I57" s="1"/>
  <c r="I13"/>
  <c r="I22"/>
  <c r="J4"/>
  <c r="J10" l="1"/>
  <c r="J7" s="1"/>
  <c r="J8" s="1"/>
  <c r="J19"/>
  <c r="J53"/>
  <c r="J47"/>
  <c r="J56" s="1"/>
  <c r="J57" s="1"/>
  <c r="J13"/>
  <c r="J22"/>
  <c r="K4"/>
  <c r="K10" l="1"/>
  <c r="K19"/>
  <c r="K47"/>
  <c r="K53"/>
  <c r="K13"/>
  <c r="K7" l="1"/>
  <c r="K8" s="1"/>
  <c r="K56"/>
  <c r="K57" l="1"/>
  <c r="K22"/>
  <c r="B57"/>
  <c r="C22"/>
  <c r="H15"/>
  <c r="H17" s="1"/>
  <c r="I15"/>
  <c r="I17" s="1"/>
  <c r="J15"/>
  <c r="J17" s="1"/>
  <c r="K15"/>
  <c r="K17" s="1"/>
  <c r="E11"/>
  <c r="D11"/>
  <c r="D24"/>
  <c r="C11"/>
  <c r="C24"/>
  <c r="B34" l="1"/>
  <c r="K24"/>
  <c r="B32" s="1"/>
  <c r="B35" s="1"/>
  <c r="Q7" s="1"/>
  <c r="J24"/>
  <c r="J29" s="1"/>
  <c r="I24"/>
  <c r="I29" s="1"/>
  <c r="H24"/>
  <c r="H29" s="1"/>
  <c r="B11"/>
  <c r="E24"/>
  <c r="B36" l="1"/>
  <c r="K29"/>
  <c r="Q5" s="1"/>
  <c r="B39" l="1"/>
  <c r="Q9" s="1"/>
  <c r="Q12"/>
  <c r="Q17"/>
  <c r="Q19" s="1"/>
  <c r="T4"/>
  <c r="S4"/>
  <c r="Q10" l="1"/>
  <c r="B40"/>
  <c r="Q22"/>
  <c r="Q25" s="1"/>
  <c r="T12"/>
  <c r="Q26" l="1"/>
</calcChain>
</file>

<file path=xl/sharedStrings.xml><?xml version="1.0" encoding="utf-8"?>
<sst xmlns="http://schemas.openxmlformats.org/spreadsheetml/2006/main" count="125" uniqueCount="103">
  <si>
    <t>EBITDA</t>
  </si>
  <si>
    <t>EBIT</t>
  </si>
  <si>
    <t>WACC</t>
  </si>
  <si>
    <t>DCF model - www.business-valuation.net</t>
  </si>
  <si>
    <t>Sales</t>
  </si>
  <si>
    <t>Enterprise value</t>
  </si>
  <si>
    <t>Taxes</t>
  </si>
  <si>
    <t>Cost of Equity</t>
  </si>
  <si>
    <t>% growth</t>
  </si>
  <si>
    <t>% sales</t>
  </si>
  <si>
    <t>Capex</t>
  </si>
  <si>
    <t>Actual</t>
  </si>
  <si>
    <t>Account receivables</t>
  </si>
  <si>
    <t>Inventory</t>
  </si>
  <si>
    <t>Prepaid expenses and other</t>
  </si>
  <si>
    <t>Present value of free cash flow</t>
  </si>
  <si>
    <t>% margin</t>
  </si>
  <si>
    <t>CAGR</t>
  </si>
  <si>
    <t>Forecast period</t>
  </si>
  <si>
    <t>Cost of Debt</t>
  </si>
  <si>
    <t>Debt to Total Capitalization</t>
  </si>
  <si>
    <t>Equity to Total Capitalization</t>
  </si>
  <si>
    <t xml:space="preserve">    Cost of Equity</t>
  </si>
  <si>
    <t xml:space="preserve">    After Tax Cost of Debt</t>
  </si>
  <si>
    <t>Wacc Calculation</t>
  </si>
  <si>
    <t>Discount Period</t>
  </si>
  <si>
    <t>Discount Factor</t>
  </si>
  <si>
    <t>Terminal Value</t>
  </si>
  <si>
    <t>Terminal Year EBITDA</t>
  </si>
  <si>
    <t>Perpetuity Growth Rate</t>
  </si>
  <si>
    <t xml:space="preserve">    Implied Exit Multiple</t>
  </si>
  <si>
    <t>Terminal Year Free Cash Flow</t>
  </si>
  <si>
    <t xml:space="preserve">   Present Value of Terminal Value</t>
  </si>
  <si>
    <t xml:space="preserve">    (in million)</t>
  </si>
  <si>
    <t>Net Working Capital</t>
  </si>
  <si>
    <t>Account payable</t>
  </si>
  <si>
    <t>Accrued Liabilities</t>
  </si>
  <si>
    <t>Other Current Liabilities</t>
  </si>
  <si>
    <t>Total Current Assets</t>
  </si>
  <si>
    <t>Total Current Liabilities</t>
  </si>
  <si>
    <t>Increase/Decrease in NWC</t>
  </si>
  <si>
    <t>Unlevered Free Cash Flow</t>
  </si>
  <si>
    <t>Taxes (30%)</t>
  </si>
  <si>
    <t>Net Debt</t>
  </si>
  <si>
    <t>Outstanding shares</t>
  </si>
  <si>
    <t>Implied share price</t>
  </si>
  <si>
    <t>Output</t>
  </si>
  <si>
    <t>Input</t>
  </si>
  <si>
    <t>Implied Equity Value</t>
  </si>
  <si>
    <t>(06 - 09)</t>
  </si>
  <si>
    <t>% of Enterprise Value</t>
  </si>
  <si>
    <t>Plus: Cash and Cash Equi.</t>
  </si>
  <si>
    <t>Less: Total debt</t>
  </si>
  <si>
    <t>Implied EV/EBITDA</t>
  </si>
  <si>
    <t>Enterprise Value</t>
  </si>
  <si>
    <t>EBITDA 2010</t>
  </si>
  <si>
    <t>EBITDA %</t>
  </si>
  <si>
    <t>SALES 2010</t>
  </si>
  <si>
    <t>Implied EV/SALES</t>
  </si>
  <si>
    <t>Implied multiples</t>
  </si>
  <si>
    <t>Total costs</t>
  </si>
  <si>
    <t>Perpetuity growth %</t>
  </si>
  <si>
    <t>Annual sales growth %</t>
  </si>
  <si>
    <r>
      <t>Target Capital Structure</t>
    </r>
    <r>
      <rPr>
        <sz val="9"/>
        <color rgb="FF000000"/>
        <rFont val="Arial"/>
        <family val="2"/>
      </rPr>
      <t xml:space="preserve"> (1)</t>
    </r>
  </si>
  <si>
    <t>Risk-free rate (2)</t>
  </si>
  <si>
    <t>Market risk Premium (3)</t>
  </si>
  <si>
    <t>Levered Beta (4)</t>
  </si>
  <si>
    <t>Size Premium (5)</t>
  </si>
  <si>
    <t>(2) Interpolated Yield on 10-year Treasury bond</t>
  </si>
  <si>
    <t>Company</t>
  </si>
  <si>
    <t>(3) Obtained from Ibbotson SBBI Valuation Yearbook</t>
  </si>
  <si>
    <t>(5) Low-Cap Decile size premium based on market capitalization, per Ibbotson</t>
  </si>
  <si>
    <t>Present value of Free Cash Flow</t>
  </si>
  <si>
    <t>Present Value of Terminal Value</t>
  </si>
  <si>
    <t>Sensitivity Analysis</t>
  </si>
  <si>
    <t>Marginal Tax Rate</t>
  </si>
  <si>
    <t>Comparable Companies Unlevered Beta</t>
  </si>
  <si>
    <t>Mean</t>
  </si>
  <si>
    <t>Median</t>
  </si>
  <si>
    <t>Company AA</t>
  </si>
  <si>
    <t>Company BB</t>
  </si>
  <si>
    <t>Company CC</t>
  </si>
  <si>
    <t>Company DD</t>
  </si>
  <si>
    <t>Company EE</t>
  </si>
  <si>
    <t>Levered Beta (1)</t>
  </si>
  <si>
    <t>Market Value of Debt (2)</t>
  </si>
  <si>
    <t>Market Value of Equity (3)</t>
  </si>
  <si>
    <t>Unlevered Beta (4)</t>
  </si>
  <si>
    <t>(1) From Bloomberg</t>
  </si>
  <si>
    <t>(2) Book Value of Debt</t>
  </si>
  <si>
    <t>(3) From Bloomberg</t>
  </si>
  <si>
    <t>(4) Unlevered Beta = Predicted Levered Beta / (1 + Debt/Equity) x (1-t))</t>
  </si>
  <si>
    <t>Relevered Beta</t>
  </si>
  <si>
    <t>Mean Unlevered Beta</t>
  </si>
  <si>
    <t>Target Marginal Tax Rate</t>
  </si>
  <si>
    <t>Target Company</t>
  </si>
  <si>
    <t>Debt/ Equity</t>
  </si>
  <si>
    <t>Equity/ Total Assets</t>
  </si>
  <si>
    <t>(4) Obtained from Beta and Capital Structure tab</t>
  </si>
  <si>
    <t>(1) Obtained from Beta and Capital Structure tab</t>
  </si>
  <si>
    <t>Mean Target Debt/ Equity</t>
  </si>
  <si>
    <t>Debt to Equity Ratio</t>
  </si>
  <si>
    <t>Depreciation &amp; Amortization: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</si>
</sst>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.0"/>
    <numFmt numFmtId="166" formatCode="#,##0.0\x"/>
    <numFmt numFmtId="167" formatCode="0.0\x"/>
  </numFmts>
  <fonts count="18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rgb="FFFF0000"/>
      <name val="Arial"/>
      <family val="2"/>
    </font>
    <font>
      <sz val="8"/>
      <color rgb="FF000000"/>
      <name val="Arial"/>
      <family val="2"/>
    </font>
    <font>
      <i/>
      <sz val="9"/>
      <color theme="0"/>
      <name val="Arial"/>
      <family val="2"/>
    </font>
    <font>
      <b/>
      <i/>
      <sz val="9"/>
      <color rgb="FF000000"/>
      <name val="Arial"/>
      <family val="2"/>
    </font>
    <font>
      <sz val="9"/>
      <color theme="3"/>
      <name val="Arial"/>
      <family val="2"/>
    </font>
    <font>
      <b/>
      <sz val="9"/>
      <color theme="3"/>
      <name val="Arial"/>
      <family val="2"/>
    </font>
    <font>
      <b/>
      <i/>
      <sz val="9"/>
      <color theme="3"/>
      <name val="Arial"/>
      <family val="2"/>
    </font>
    <font>
      <sz val="9"/>
      <color theme="0"/>
      <name val="Arial"/>
      <family val="2"/>
    </font>
    <font>
      <sz val="9"/>
      <color theme="2"/>
      <name val="Arial"/>
      <family val="2"/>
    </font>
    <font>
      <b/>
      <sz val="9"/>
      <color theme="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1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1" fillId="0" borderId="0" xfId="0" applyFont="1" applyAlignment="1">
      <alignment vertical="center" wrapText="1" readingOrder="1"/>
    </xf>
    <xf numFmtId="0" fontId="2" fillId="0" borderId="0" xfId="0" applyFont="1"/>
    <xf numFmtId="3" fontId="4" fillId="0" borderId="0" xfId="0" applyNumberFormat="1" applyFont="1" applyAlignment="1">
      <alignment horizontal="right" vertical="center" wrapText="1" readingOrder="1"/>
    </xf>
    <xf numFmtId="9" fontId="5" fillId="0" borderId="0" xfId="0" applyNumberFormat="1" applyFont="1" applyAlignment="1">
      <alignment horizontal="right" vertical="center" wrapText="1" readingOrder="1"/>
    </xf>
    <xf numFmtId="0" fontId="1" fillId="0" borderId="0" xfId="0" applyFont="1" applyAlignment="1">
      <alignment horizontal="left" vertical="center" wrapText="1" readingOrder="1"/>
    </xf>
    <xf numFmtId="3" fontId="1" fillId="0" borderId="0" xfId="0" applyNumberFormat="1" applyFont="1" applyAlignment="1">
      <alignment horizontal="right" vertical="center" wrapText="1" readingOrder="1"/>
    </xf>
    <xf numFmtId="3" fontId="4" fillId="0" borderId="0" xfId="0" applyNumberFormat="1" applyFont="1" applyAlignment="1">
      <alignment horizontal="left" vertical="center" readingOrder="1"/>
    </xf>
    <xf numFmtId="0" fontId="4" fillId="3" borderId="0" xfId="0" applyFont="1" applyFill="1" applyAlignment="1">
      <alignment horizontal="left" vertical="center" wrapText="1" readingOrder="1"/>
    </xf>
    <xf numFmtId="164" fontId="1" fillId="3" borderId="0" xfId="0" applyNumberFormat="1" applyFont="1" applyFill="1" applyAlignment="1">
      <alignment horizontal="right" vertical="center" wrapText="1" readingOrder="1"/>
    </xf>
    <xf numFmtId="3" fontId="4" fillId="3" borderId="0" xfId="0" applyNumberFormat="1" applyFont="1" applyFill="1" applyAlignment="1">
      <alignment horizontal="left" vertical="center" readingOrder="1"/>
    </xf>
    <xf numFmtId="3" fontId="4" fillId="3" borderId="0" xfId="0" applyNumberFormat="1" applyFont="1" applyFill="1" applyAlignment="1">
      <alignment horizontal="right" vertical="center" wrapText="1" readingOrder="1"/>
    </xf>
    <xf numFmtId="0" fontId="2" fillId="3" borderId="0" xfId="0" applyFont="1" applyFill="1"/>
    <xf numFmtId="164" fontId="4" fillId="3" borderId="0" xfId="0" applyNumberFormat="1" applyFont="1" applyFill="1" applyAlignment="1">
      <alignment horizontal="right" vertical="center" wrapText="1" readingOrder="1"/>
    </xf>
    <xf numFmtId="0" fontId="1" fillId="3" borderId="0" xfId="0" applyFont="1" applyFill="1" applyAlignment="1">
      <alignment horizontal="left" vertical="center" readingOrder="1"/>
    </xf>
    <xf numFmtId="0" fontId="2" fillId="0" borderId="0" xfId="0" applyFont="1" applyAlignment="1">
      <alignment vertical="center" wrapText="1" readingOrder="1"/>
    </xf>
    <xf numFmtId="9" fontId="2" fillId="0" borderId="0" xfId="0" applyNumberFormat="1" applyFont="1" applyAlignment="1">
      <alignment horizontal="right" vertical="center" wrapText="1" readingOrder="1"/>
    </xf>
    <xf numFmtId="0" fontId="1" fillId="0" borderId="0" xfId="0" applyFont="1" applyAlignment="1">
      <alignment horizontal="righ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right" vertical="center" wrapText="1" readingOrder="1"/>
    </xf>
    <xf numFmtId="3" fontId="4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 readingOrder="1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5" fillId="0" borderId="0" xfId="0" applyFont="1" applyBorder="1" applyAlignment="1">
      <alignment horizontal="left" vertical="center" wrapText="1" indent="3" readingOrder="1"/>
    </xf>
    <xf numFmtId="0" fontId="4" fillId="0" borderId="0" xfId="0" applyFont="1" applyBorder="1" applyAlignment="1">
      <alignment horizontal="left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3" fillId="4" borderId="2" xfId="0" applyFont="1" applyFill="1" applyBorder="1" applyAlignment="1">
      <alignment horizontal="center" vertical="center" wrapText="1" readingOrder="1"/>
    </xf>
    <xf numFmtId="0" fontId="2" fillId="0" borderId="0" xfId="0" applyFont="1" applyBorder="1"/>
    <xf numFmtId="0" fontId="2" fillId="0" borderId="0" xfId="0" applyFont="1" applyFill="1" applyBorder="1"/>
    <xf numFmtId="3" fontId="4" fillId="0" borderId="0" xfId="0" applyNumberFormat="1" applyFont="1" applyBorder="1" applyAlignment="1">
      <alignment horizontal="right" vertical="center" wrapText="1" readingOrder="1"/>
    </xf>
    <xf numFmtId="0" fontId="1" fillId="0" borderId="0" xfId="0" applyFont="1" applyBorder="1" applyAlignment="1">
      <alignment horizontal="left" vertical="center" wrapText="1" readingOrder="1"/>
    </xf>
    <xf numFmtId="3" fontId="1" fillId="0" borderId="0" xfId="0" applyNumberFormat="1" applyFont="1" applyBorder="1" applyAlignment="1">
      <alignment horizontal="right" vertical="center" wrapText="1" readingOrder="1"/>
    </xf>
    <xf numFmtId="164" fontId="4" fillId="0" borderId="0" xfId="0" applyNumberFormat="1" applyFont="1" applyBorder="1" applyAlignment="1">
      <alignment horizontal="right" vertical="center" wrapText="1" readingOrder="1"/>
    </xf>
    <xf numFmtId="165" fontId="4" fillId="0" borderId="0" xfId="0" applyNumberFormat="1" applyFont="1" applyBorder="1" applyAlignment="1">
      <alignment horizontal="right" vertical="center" wrapText="1" readingOrder="1"/>
    </xf>
    <xf numFmtId="164" fontId="2" fillId="3" borderId="0" xfId="0" applyNumberFormat="1" applyFont="1" applyFill="1" applyBorder="1"/>
    <xf numFmtId="9" fontId="2" fillId="3" borderId="0" xfId="0" applyNumberFormat="1" applyFont="1" applyFill="1" applyBorder="1"/>
    <xf numFmtId="3" fontId="4" fillId="3" borderId="0" xfId="0" applyNumberFormat="1" applyFont="1" applyFill="1" applyBorder="1" applyAlignment="1">
      <alignment horizontal="right" vertical="center" wrapText="1" readingOrder="1"/>
    </xf>
    <xf numFmtId="0" fontId="2" fillId="3" borderId="0" xfId="0" applyFont="1" applyFill="1" applyBorder="1"/>
    <xf numFmtId="164" fontId="5" fillId="3" borderId="0" xfId="0" applyNumberFormat="1" applyFont="1" applyFill="1" applyBorder="1" applyAlignment="1">
      <alignment horizontal="right" vertical="center" wrapText="1" readingOrder="1"/>
    </xf>
    <xf numFmtId="1" fontId="2" fillId="3" borderId="0" xfId="0" applyNumberFormat="1" applyFont="1" applyFill="1" applyBorder="1"/>
    <xf numFmtId="3" fontId="4" fillId="0" borderId="4" xfId="0" applyNumberFormat="1" applyFont="1" applyBorder="1" applyAlignment="1">
      <alignment horizontal="right" vertical="center" wrapText="1" readingOrder="1"/>
    </xf>
    <xf numFmtId="0" fontId="5" fillId="0" borderId="5" xfId="0" applyFont="1" applyBorder="1" applyAlignment="1">
      <alignment horizontal="left" vertical="center" wrapText="1" indent="3" readingOrder="1"/>
    </xf>
    <xf numFmtId="3" fontId="4" fillId="0" borderId="7" xfId="0" applyNumberFormat="1" applyFont="1" applyBorder="1" applyAlignment="1">
      <alignment horizontal="right" vertical="center" wrapText="1" readingOrder="1"/>
    </xf>
    <xf numFmtId="164" fontId="5" fillId="0" borderId="7" xfId="0" applyNumberFormat="1" applyFont="1" applyBorder="1" applyAlignment="1">
      <alignment horizontal="right" vertical="center" wrapText="1" readingOrder="1"/>
    </xf>
    <xf numFmtId="9" fontId="5" fillId="0" borderId="7" xfId="0" applyNumberFormat="1" applyFont="1" applyFill="1" applyBorder="1" applyAlignment="1">
      <alignment horizontal="right" vertical="center" wrapText="1" readingOrder="1"/>
    </xf>
    <xf numFmtId="164" fontId="4" fillId="0" borderId="6" xfId="0" applyNumberFormat="1" applyFont="1" applyBorder="1" applyAlignment="1">
      <alignment horizontal="right" vertical="center" wrapText="1" readingOrder="1"/>
    </xf>
    <xf numFmtId="3" fontId="1" fillId="0" borderId="7" xfId="0" applyNumberFormat="1" applyFont="1" applyBorder="1" applyAlignment="1">
      <alignment horizontal="right" vertical="center" wrapText="1" readingOrder="1"/>
    </xf>
    <xf numFmtId="3" fontId="4" fillId="0" borderId="6" xfId="0" applyNumberFormat="1" applyFont="1" applyBorder="1" applyAlignment="1">
      <alignment horizontal="right" vertical="center" wrapText="1" readingOrder="1"/>
    </xf>
    <xf numFmtId="3" fontId="4" fillId="0" borderId="5" xfId="0" applyNumberFormat="1" applyFont="1" applyBorder="1" applyAlignment="1">
      <alignment horizontal="right" vertical="center" wrapText="1" readingOrder="1"/>
    </xf>
    <xf numFmtId="164" fontId="5" fillId="0" borderId="5" xfId="0" applyNumberFormat="1" applyFont="1" applyBorder="1" applyAlignment="1">
      <alignment horizontal="right" vertical="center" wrapText="1" readingOrder="1"/>
    </xf>
    <xf numFmtId="9" fontId="5" fillId="0" borderId="5" xfId="0" applyNumberFormat="1" applyFont="1" applyFill="1" applyBorder="1" applyAlignment="1">
      <alignment horizontal="right" vertical="center" wrapText="1" readingOrder="1"/>
    </xf>
    <xf numFmtId="3" fontId="1" fillId="0" borderId="5" xfId="0" applyNumberFormat="1" applyFont="1" applyBorder="1" applyAlignment="1">
      <alignment horizontal="right" vertical="center" wrapText="1" readingOrder="1"/>
    </xf>
    <xf numFmtId="3" fontId="4" fillId="0" borderId="8" xfId="0" applyNumberFormat="1" applyFont="1" applyBorder="1" applyAlignment="1">
      <alignment horizontal="right" vertical="center" wrapText="1" readingOrder="1"/>
    </xf>
    <xf numFmtId="3" fontId="4" fillId="3" borderId="5" xfId="0" applyNumberFormat="1" applyFont="1" applyFill="1" applyBorder="1" applyAlignment="1">
      <alignment horizontal="right" vertical="center" wrapText="1" readingOrder="1"/>
    </xf>
    <xf numFmtId="164" fontId="2" fillId="3" borderId="5" xfId="0" applyNumberFormat="1" applyFont="1" applyFill="1" applyBorder="1"/>
    <xf numFmtId="9" fontId="2" fillId="3" borderId="5" xfId="0" applyNumberFormat="1" applyFont="1" applyFill="1" applyBorder="1"/>
    <xf numFmtId="1" fontId="2" fillId="3" borderId="5" xfId="0" applyNumberFormat="1" applyFont="1" applyFill="1" applyBorder="1"/>
    <xf numFmtId="0" fontId="2" fillId="0" borderId="5" xfId="0" applyFont="1" applyBorder="1"/>
    <xf numFmtId="164" fontId="4" fillId="0" borderId="5" xfId="0" applyNumberFormat="1" applyFont="1" applyBorder="1" applyAlignment="1">
      <alignment horizontal="right" vertical="center" wrapText="1" readingOrder="1"/>
    </xf>
    <xf numFmtId="165" fontId="4" fillId="0" borderId="5" xfId="0" applyNumberFormat="1" applyFont="1" applyBorder="1" applyAlignment="1">
      <alignment horizontal="right" vertical="center" wrapText="1" readingOrder="1"/>
    </xf>
    <xf numFmtId="3" fontId="4" fillId="3" borderId="7" xfId="0" applyNumberFormat="1" applyFont="1" applyFill="1" applyBorder="1" applyAlignment="1">
      <alignment horizontal="right" vertical="center" wrapText="1" readingOrder="1"/>
    </xf>
    <xf numFmtId="164" fontId="2" fillId="3" borderId="7" xfId="0" applyNumberFormat="1" applyFont="1" applyFill="1" applyBorder="1"/>
    <xf numFmtId="9" fontId="2" fillId="3" borderId="7" xfId="0" applyNumberFormat="1" applyFont="1" applyFill="1" applyBorder="1"/>
    <xf numFmtId="1" fontId="2" fillId="3" borderId="7" xfId="0" applyNumberFormat="1" applyFont="1" applyFill="1" applyBorder="1"/>
    <xf numFmtId="0" fontId="2" fillId="0" borderId="7" xfId="0" applyFont="1" applyBorder="1"/>
    <xf numFmtId="165" fontId="4" fillId="0" borderId="7" xfId="0" applyNumberFormat="1" applyFont="1" applyBorder="1" applyAlignment="1">
      <alignment horizontal="right" vertical="center" wrapText="1" readingOrder="1"/>
    </xf>
    <xf numFmtId="0" fontId="3" fillId="4" borderId="3" xfId="0" applyFont="1" applyFill="1" applyBorder="1" applyAlignment="1">
      <alignment horizontal="right" vertical="center" wrapText="1" readingOrder="1"/>
    </xf>
    <xf numFmtId="0" fontId="3" fillId="4" borderId="3" xfId="0" applyFont="1" applyFill="1" applyBorder="1" applyAlignment="1">
      <alignment horizontal="right"/>
    </xf>
    <xf numFmtId="164" fontId="5" fillId="5" borderId="0" xfId="0" applyNumberFormat="1" applyFont="1" applyFill="1" applyBorder="1" applyAlignment="1">
      <alignment horizontal="right" vertical="center" wrapText="1" readingOrder="1"/>
    </xf>
    <xf numFmtId="3" fontId="1" fillId="5" borderId="0" xfId="0" applyNumberFormat="1" applyFont="1" applyFill="1" applyBorder="1" applyAlignment="1">
      <alignment horizontal="right"/>
    </xf>
    <xf numFmtId="0" fontId="2" fillId="3" borderId="6" xfId="0" applyFont="1" applyFill="1" applyBorder="1"/>
    <xf numFmtId="0" fontId="2" fillId="3" borderId="8" xfId="0" applyFont="1" applyFill="1" applyBorder="1"/>
    <xf numFmtId="0" fontId="1" fillId="3" borderId="0" xfId="0" applyFont="1" applyFill="1" applyAlignment="1">
      <alignment horizontal="left" vertical="center" wrapText="1" readingOrder="1"/>
    </xf>
    <xf numFmtId="0" fontId="4" fillId="3" borderId="0" xfId="0" applyFont="1" applyFill="1" applyAlignment="1">
      <alignment horizontal="left" vertical="center" readingOrder="1"/>
    </xf>
    <xf numFmtId="9" fontId="2" fillId="3" borderId="0" xfId="0" applyNumberFormat="1" applyFont="1" applyFill="1"/>
    <xf numFmtId="2" fontId="2" fillId="0" borderId="0" xfId="0" applyNumberFormat="1" applyFont="1" applyBorder="1" applyAlignment="1">
      <alignment horizontal="left"/>
    </xf>
    <xf numFmtId="164" fontId="1" fillId="3" borderId="0" xfId="0" applyNumberFormat="1" applyFont="1" applyFill="1" applyBorder="1" applyAlignment="1">
      <alignment horizontal="right" vertical="center" wrapText="1" readingOrder="1"/>
    </xf>
    <xf numFmtId="0" fontId="1" fillId="2" borderId="0" xfId="0" applyFont="1" applyFill="1" applyAlignment="1">
      <alignment horizontal="left" vertical="center" wrapText="1" readingOrder="1"/>
    </xf>
    <xf numFmtId="164" fontId="1" fillId="2" borderId="0" xfId="0" applyNumberFormat="1" applyFont="1" applyFill="1" applyAlignment="1">
      <alignment horizontal="right" vertical="center" wrapText="1" readingOrder="1"/>
    </xf>
    <xf numFmtId="164" fontId="4" fillId="2" borderId="0" xfId="0" applyNumberFormat="1" applyFont="1" applyFill="1" applyAlignment="1">
      <alignment horizontal="right" vertical="center" wrapText="1" readingOrder="1"/>
    </xf>
    <xf numFmtId="164" fontId="6" fillId="2" borderId="12" xfId="0" applyNumberFormat="1" applyFont="1" applyFill="1" applyBorder="1"/>
    <xf numFmtId="164" fontId="1" fillId="2" borderId="12" xfId="0" applyNumberFormat="1" applyFont="1" applyFill="1" applyBorder="1" applyAlignment="1">
      <alignment horizontal="right" vertical="center" wrapText="1" readingOrder="1"/>
    </xf>
    <xf numFmtId="0" fontId="9" fillId="3" borderId="0" xfId="0" applyFont="1" applyFill="1" applyAlignment="1">
      <alignment horizontal="left" vertical="top" readingOrder="1"/>
    </xf>
    <xf numFmtId="3" fontId="6" fillId="3" borderId="0" xfId="0" applyNumberFormat="1" applyFont="1" applyFill="1" applyBorder="1"/>
    <xf numFmtId="165" fontId="4" fillId="3" borderId="0" xfId="0" applyNumberFormat="1" applyFont="1" applyFill="1" applyBorder="1" applyAlignment="1">
      <alignment horizontal="right" vertical="center" wrapText="1" readingOrder="1"/>
    </xf>
    <xf numFmtId="4" fontId="4" fillId="0" borderId="4" xfId="0" applyNumberFormat="1" applyFont="1" applyBorder="1" applyAlignment="1">
      <alignment horizontal="right" vertical="center" wrapText="1" readingOrder="1"/>
    </xf>
    <xf numFmtId="3" fontId="1" fillId="2" borderId="0" xfId="0" applyNumberFormat="1" applyFont="1" applyFill="1" applyBorder="1" applyAlignment="1">
      <alignment horizontal="right" vertical="center" wrapText="1" readingOrder="1"/>
    </xf>
    <xf numFmtId="0" fontId="6" fillId="0" borderId="0" xfId="0" applyFont="1"/>
    <xf numFmtId="166" fontId="1" fillId="0" borderId="0" xfId="0" applyNumberFormat="1" applyFont="1" applyAlignment="1">
      <alignment horizontal="right" vertical="center" wrapText="1" readingOrder="1"/>
    </xf>
    <xf numFmtId="0" fontId="1" fillId="2" borderId="4" xfId="0" applyFont="1" applyFill="1" applyBorder="1" applyAlignment="1">
      <alignment horizontal="left" vertical="center" wrapText="1" readingOrder="1"/>
    </xf>
    <xf numFmtId="3" fontId="4" fillId="2" borderId="4" xfId="0" applyNumberFormat="1" applyFont="1" applyFill="1" applyBorder="1" applyAlignment="1">
      <alignment horizontal="right" vertical="center" wrapText="1" readingOrder="1"/>
    </xf>
    <xf numFmtId="0" fontId="6" fillId="2" borderId="0" xfId="0" applyFont="1" applyFill="1"/>
    <xf numFmtId="3" fontId="8" fillId="0" borderId="4" xfId="0" applyNumberFormat="1" applyFont="1" applyBorder="1" applyAlignment="1">
      <alignment horizontal="right" vertical="center" wrapText="1" readingOrder="1"/>
    </xf>
    <xf numFmtId="3" fontId="6" fillId="0" borderId="0" xfId="0" applyNumberFormat="1" applyFont="1" applyBorder="1" applyAlignment="1">
      <alignment horizontal="right" vertical="center" wrapText="1" readingOrder="1"/>
    </xf>
    <xf numFmtId="3" fontId="1" fillId="2" borderId="5" xfId="0" applyNumberFormat="1" applyFont="1" applyFill="1" applyBorder="1" applyAlignment="1">
      <alignment horizontal="right" vertical="center" wrapText="1" readingOrder="1"/>
    </xf>
    <xf numFmtId="164" fontId="13" fillId="3" borderId="5" xfId="0" applyNumberFormat="1" applyFont="1" applyFill="1" applyBorder="1"/>
    <xf numFmtId="164" fontId="13" fillId="3" borderId="7" xfId="0" applyNumberFormat="1" applyFont="1" applyFill="1" applyBorder="1"/>
    <xf numFmtId="164" fontId="14" fillId="0" borderId="7" xfId="0" applyNumberFormat="1" applyFont="1" applyBorder="1" applyAlignment="1">
      <alignment horizontal="right" vertical="center" wrapText="1" readingOrder="1"/>
    </xf>
    <xf numFmtId="164" fontId="13" fillId="3" borderId="8" xfId="0" applyNumberFormat="1" applyFont="1" applyFill="1" applyBorder="1"/>
    <xf numFmtId="164" fontId="14" fillId="0" borderId="5" xfId="0" applyNumberFormat="1" applyFont="1" applyBorder="1" applyAlignment="1">
      <alignment horizontal="right" vertical="center" wrapText="1" readingOrder="1"/>
    </xf>
    <xf numFmtId="9" fontId="4" fillId="0" borderId="5" xfId="0" applyNumberFormat="1" applyFont="1" applyBorder="1" applyAlignment="1">
      <alignment horizontal="right" vertical="center" wrapText="1" readingOrder="1"/>
    </xf>
    <xf numFmtId="164" fontId="4" fillId="0" borderId="0" xfId="0" applyNumberFormat="1" applyFont="1" applyAlignment="1">
      <alignment horizontal="right" vertical="center" wrapText="1" readingOrder="1"/>
    </xf>
    <xf numFmtId="164" fontId="13" fillId="0" borderId="0" xfId="0" applyNumberFormat="1" applyFont="1" applyBorder="1" applyAlignment="1">
      <alignment horizontal="right" vertical="center" wrapText="1" readingOrder="1"/>
    </xf>
    <xf numFmtId="164" fontId="13" fillId="0" borderId="5" xfId="0" applyNumberFormat="1" applyFont="1" applyBorder="1" applyAlignment="1">
      <alignment horizontal="right" vertical="center" wrapText="1" readingOrder="1"/>
    </xf>
    <xf numFmtId="9" fontId="7" fillId="0" borderId="0" xfId="0" applyNumberFormat="1" applyFont="1" applyAlignment="1">
      <alignment horizontal="right" vertical="center" wrapText="1" readingOrder="1"/>
    </xf>
    <xf numFmtId="0" fontId="2" fillId="4" borderId="0" xfId="0" applyFont="1" applyFill="1"/>
    <xf numFmtId="164" fontId="13" fillId="2" borderId="0" xfId="0" applyNumberFormat="1" applyFont="1" applyFill="1" applyAlignment="1">
      <alignment horizontal="right" vertical="center" wrapText="1" readingOrder="1"/>
    </xf>
    <xf numFmtId="4" fontId="13" fillId="2" borderId="0" xfId="0" applyNumberFormat="1" applyFont="1" applyFill="1" applyAlignment="1">
      <alignment horizontal="right" vertical="center" wrapText="1" readingOrder="1"/>
    </xf>
    <xf numFmtId="0" fontId="10" fillId="4" borderId="1" xfId="0" applyFont="1" applyFill="1" applyBorder="1" applyAlignment="1">
      <alignment vertical="center" wrapText="1" readingOrder="1"/>
    </xf>
    <xf numFmtId="0" fontId="3" fillId="4" borderId="2" xfId="0" applyFont="1" applyFill="1" applyBorder="1" applyAlignment="1">
      <alignment vertical="center" wrapText="1" readingOrder="1"/>
    </xf>
    <xf numFmtId="0" fontId="2" fillId="4" borderId="14" xfId="0" applyFont="1" applyFill="1" applyBorder="1"/>
    <xf numFmtId="0" fontId="2" fillId="4" borderId="5" xfId="0" applyFont="1" applyFill="1" applyBorder="1"/>
    <xf numFmtId="0" fontId="1" fillId="3" borderId="5" xfId="0" applyFont="1" applyFill="1" applyBorder="1" applyAlignment="1">
      <alignment vertical="center" readingOrder="1"/>
    </xf>
    <xf numFmtId="0" fontId="3" fillId="4" borderId="5" xfId="0" applyFont="1" applyFill="1" applyBorder="1" applyAlignment="1"/>
    <xf numFmtId="0" fontId="2" fillId="3" borderId="5" xfId="0" applyFont="1" applyFill="1" applyBorder="1"/>
    <xf numFmtId="0" fontId="2" fillId="3" borderId="0" xfId="0" applyFont="1" applyFill="1" applyAlignment="1">
      <alignment vertical="center" textRotation="90"/>
    </xf>
    <xf numFmtId="3" fontId="12" fillId="4" borderId="0" xfId="0" applyNumberFormat="1" applyFont="1" applyFill="1"/>
    <xf numFmtId="0" fontId="15" fillId="4" borderId="0" xfId="0" applyFont="1" applyFill="1" applyBorder="1"/>
    <xf numFmtId="3" fontId="2" fillId="0" borderId="0" xfId="0" applyNumberFormat="1" applyFont="1" applyBorder="1"/>
    <xf numFmtId="167" fontId="6" fillId="0" borderId="0" xfId="0" applyNumberFormat="1" applyFont="1" applyBorder="1"/>
    <xf numFmtId="0" fontId="2" fillId="0" borderId="4" xfId="0" applyFont="1" applyBorder="1"/>
    <xf numFmtId="0" fontId="3" fillId="4" borderId="0" xfId="0" applyFont="1" applyFill="1" applyBorder="1"/>
    <xf numFmtId="164" fontId="14" fillId="5" borderId="0" xfId="0" applyNumberFormat="1" applyFont="1" applyFill="1" applyBorder="1" applyAlignment="1">
      <alignment horizontal="right" vertical="center" wrapText="1" readingOrder="1"/>
    </xf>
    <xf numFmtId="3" fontId="12" fillId="3" borderId="0" xfId="0" applyNumberFormat="1" applyFont="1" applyFill="1"/>
    <xf numFmtId="3" fontId="16" fillId="6" borderId="0" xfId="0" applyNumberFormat="1" applyFont="1" applyFill="1"/>
    <xf numFmtId="3" fontId="2" fillId="0" borderId="0" xfId="0" applyNumberFormat="1" applyFont="1"/>
    <xf numFmtId="3" fontId="2" fillId="6" borderId="0" xfId="0" applyNumberFormat="1" applyFont="1" applyFill="1" applyBorder="1"/>
    <xf numFmtId="3" fontId="2" fillId="0" borderId="0" xfId="0" applyNumberFormat="1" applyFont="1" applyFill="1" applyBorder="1"/>
    <xf numFmtId="3" fontId="6" fillId="8" borderId="0" xfId="0" applyNumberFormat="1" applyFont="1" applyFill="1" applyBorder="1"/>
    <xf numFmtId="0" fontId="6" fillId="0" borderId="0" xfId="0" applyFont="1" applyBorder="1"/>
    <xf numFmtId="3" fontId="1" fillId="3" borderId="5" xfId="0" applyNumberFormat="1" applyFont="1" applyFill="1" applyBorder="1" applyAlignment="1">
      <alignment horizontal="right" vertical="center" wrapText="1" readingOrder="1"/>
    </xf>
    <xf numFmtId="164" fontId="6" fillId="6" borderId="0" xfId="0" applyNumberFormat="1" applyFont="1" applyFill="1"/>
    <xf numFmtId="164" fontId="6" fillId="6" borderId="0" xfId="0" applyNumberFormat="1" applyFont="1" applyFill="1" applyBorder="1"/>
    <xf numFmtId="3" fontId="17" fillId="6" borderId="0" xfId="0" applyNumberFormat="1" applyFont="1" applyFill="1"/>
    <xf numFmtId="164" fontId="2" fillId="3" borderId="0" xfId="0" applyNumberFormat="1" applyFont="1" applyFill="1"/>
    <xf numFmtId="1" fontId="2" fillId="3" borderId="0" xfId="0" applyNumberFormat="1" applyFont="1" applyFill="1"/>
    <xf numFmtId="1" fontId="6" fillId="3" borderId="0" xfId="0" applyNumberFormat="1" applyFont="1" applyFill="1" applyBorder="1"/>
    <xf numFmtId="0" fontId="3" fillId="4" borderId="11" xfId="0" applyFont="1" applyFill="1" applyBorder="1" applyAlignment="1">
      <alignment horizontal="right" vertical="center" wrapText="1" readingOrder="1"/>
    </xf>
    <xf numFmtId="0" fontId="3" fillId="4" borderId="15" xfId="0" applyFont="1" applyFill="1" applyBorder="1" applyAlignment="1">
      <alignment horizontal="right" vertical="center" wrapText="1" readingOrder="1"/>
    </xf>
    <xf numFmtId="3" fontId="4" fillId="4" borderId="15" xfId="0" applyNumberFormat="1" applyFont="1" applyFill="1" applyBorder="1" applyAlignment="1">
      <alignment horizontal="right" vertical="center" wrapText="1" readingOrder="1"/>
    </xf>
    <xf numFmtId="0" fontId="2" fillId="4" borderId="13" xfId="0" applyFont="1" applyFill="1" applyBorder="1"/>
    <xf numFmtId="0" fontId="3" fillId="4" borderId="0" xfId="0" applyFont="1" applyFill="1" applyBorder="1" applyAlignment="1"/>
    <xf numFmtId="0" fontId="2" fillId="4" borderId="15" xfId="0" applyFont="1" applyFill="1" applyBorder="1"/>
    <xf numFmtId="0" fontId="3" fillId="4" borderId="11" xfId="0" applyFont="1" applyFill="1" applyBorder="1" applyAlignment="1">
      <alignment horizontal="right"/>
    </xf>
    <xf numFmtId="0" fontId="3" fillId="4" borderId="15" xfId="0" applyFont="1" applyFill="1" applyBorder="1" applyAlignment="1">
      <alignment horizontal="right"/>
    </xf>
    <xf numFmtId="3" fontId="4" fillId="0" borderId="13" xfId="0" applyNumberFormat="1" applyFont="1" applyBorder="1" applyAlignment="1">
      <alignment horizontal="right" vertical="center" wrapText="1" readingOrder="1"/>
    </xf>
    <xf numFmtId="9" fontId="5" fillId="0" borderId="7" xfId="0" applyNumberFormat="1" applyFont="1" applyBorder="1" applyAlignment="1">
      <alignment horizontal="center" vertical="center" wrapText="1" readingOrder="1"/>
    </xf>
    <xf numFmtId="9" fontId="5" fillId="5" borderId="7" xfId="0" applyNumberFormat="1" applyFont="1" applyFill="1" applyBorder="1" applyAlignment="1">
      <alignment horizontal="center" vertical="center" wrapText="1" readingOrder="1"/>
    </xf>
    <xf numFmtId="164" fontId="5" fillId="5" borderId="7" xfId="0" applyNumberFormat="1" applyFont="1" applyFill="1" applyBorder="1" applyAlignment="1">
      <alignment horizontal="right" vertical="center" wrapText="1" readingOrder="1"/>
    </xf>
    <xf numFmtId="164" fontId="4" fillId="0" borderId="7" xfId="0" applyNumberFormat="1" applyFont="1" applyBorder="1" applyAlignment="1">
      <alignment horizontal="right" vertical="center" wrapText="1" readingOrder="1"/>
    </xf>
    <xf numFmtId="3" fontId="1" fillId="3" borderId="7" xfId="0" applyNumberFormat="1" applyFont="1" applyFill="1" applyBorder="1" applyAlignment="1">
      <alignment horizontal="right" vertical="center" wrapText="1" readingOrder="1"/>
    </xf>
    <xf numFmtId="3" fontId="1" fillId="2" borderId="7" xfId="0" applyNumberFormat="1" applyFont="1" applyFill="1" applyBorder="1" applyAlignment="1">
      <alignment horizontal="right" vertical="center" wrapText="1" readingOrder="1"/>
    </xf>
    <xf numFmtId="3" fontId="4" fillId="2" borderId="2" xfId="0" applyNumberFormat="1" applyFont="1" applyFill="1" applyBorder="1" applyAlignment="1">
      <alignment horizontal="right" vertical="center" wrapText="1" readingOrder="1"/>
    </xf>
    <xf numFmtId="3" fontId="1" fillId="5" borderId="13" xfId="0" applyNumberFormat="1" applyFont="1" applyFill="1" applyBorder="1" applyAlignment="1">
      <alignment horizontal="right"/>
    </xf>
    <xf numFmtId="3" fontId="1" fillId="5" borderId="5" xfId="0" applyNumberFormat="1" applyFont="1" applyFill="1" applyBorder="1" applyAlignment="1">
      <alignment horizontal="right"/>
    </xf>
    <xf numFmtId="164" fontId="14" fillId="5" borderId="13" xfId="0" applyNumberFormat="1" applyFont="1" applyFill="1" applyBorder="1" applyAlignment="1">
      <alignment horizontal="right" vertical="center" wrapText="1" readingOrder="1"/>
    </xf>
    <xf numFmtId="164" fontId="14" fillId="5" borderId="5" xfId="0" applyNumberFormat="1" applyFont="1" applyFill="1" applyBorder="1" applyAlignment="1">
      <alignment horizontal="right" vertical="center" wrapText="1" readingOrder="1"/>
    </xf>
    <xf numFmtId="0" fontId="2" fillId="3" borderId="13" xfId="0" applyFont="1" applyFill="1" applyBorder="1"/>
    <xf numFmtId="164" fontId="13" fillId="3" borderId="6" xfId="0" applyNumberFormat="1" applyFont="1" applyFill="1" applyBorder="1"/>
    <xf numFmtId="3" fontId="4" fillId="0" borderId="19" xfId="0" applyNumberFormat="1" applyFont="1" applyBorder="1" applyAlignment="1">
      <alignment horizontal="right" vertical="center" wrapText="1" readingOrder="1"/>
    </xf>
    <xf numFmtId="3" fontId="1" fillId="2" borderId="13" xfId="0" applyNumberFormat="1" applyFont="1" applyFill="1" applyBorder="1" applyAlignment="1">
      <alignment horizontal="right" vertical="center" wrapText="1" readingOrder="1"/>
    </xf>
    <xf numFmtId="165" fontId="4" fillId="0" borderId="13" xfId="0" applyNumberFormat="1" applyFont="1" applyBorder="1" applyAlignment="1">
      <alignment horizontal="right" vertical="center" wrapText="1" readingOrder="1"/>
    </xf>
    <xf numFmtId="4" fontId="4" fillId="0" borderId="19" xfId="0" applyNumberFormat="1" applyFont="1" applyBorder="1" applyAlignment="1">
      <alignment horizontal="right" vertical="center" wrapText="1" readingOrder="1"/>
    </xf>
    <xf numFmtId="4" fontId="4" fillId="0" borderId="8" xfId="0" applyNumberFormat="1" applyFont="1" applyBorder="1" applyAlignment="1">
      <alignment horizontal="right" vertical="center" wrapText="1" readingOrder="1"/>
    </xf>
    <xf numFmtId="3" fontId="1" fillId="2" borderId="11" xfId="0" applyNumberFormat="1" applyFont="1" applyFill="1" applyBorder="1" applyAlignment="1">
      <alignment horizontal="right" vertical="center" wrapText="1" readingOrder="1"/>
    </xf>
    <xf numFmtId="3" fontId="1" fillId="2" borderId="3" xfId="0" applyNumberFormat="1" applyFont="1" applyFill="1" applyBorder="1" applyAlignment="1">
      <alignment horizontal="right" vertical="center" wrapText="1" readingOrder="1"/>
    </xf>
    <xf numFmtId="3" fontId="1" fillId="2" borderId="15" xfId="0" applyNumberFormat="1" applyFont="1" applyFill="1" applyBorder="1" applyAlignment="1">
      <alignment horizontal="right" vertical="center" wrapText="1" readingOrder="1"/>
    </xf>
    <xf numFmtId="3" fontId="4" fillId="0" borderId="1" xfId="0" applyNumberFormat="1" applyFont="1" applyBorder="1" applyAlignment="1">
      <alignment horizontal="right" vertical="center" wrapText="1" readingOrder="1"/>
    </xf>
    <xf numFmtId="3" fontId="4" fillId="0" borderId="14" xfId="0" applyNumberFormat="1" applyFont="1" applyBorder="1" applyAlignment="1">
      <alignment horizontal="right" vertical="center" wrapText="1" readingOrder="1"/>
    </xf>
    <xf numFmtId="164" fontId="5" fillId="5" borderId="13" xfId="0" applyNumberFormat="1" applyFont="1" applyFill="1" applyBorder="1" applyAlignment="1">
      <alignment horizontal="right" vertical="center" wrapText="1" readingOrder="1"/>
    </xf>
    <xf numFmtId="164" fontId="5" fillId="5" borderId="5" xfId="0" applyNumberFormat="1" applyFont="1" applyFill="1" applyBorder="1" applyAlignment="1">
      <alignment horizontal="right" vertical="center" wrapText="1" readingOrder="1"/>
    </xf>
    <xf numFmtId="9" fontId="11" fillId="3" borderId="13" xfId="0" applyNumberFormat="1" applyFont="1" applyFill="1" applyBorder="1" applyAlignment="1">
      <alignment horizontal="right" vertical="center" wrapText="1" readingOrder="1"/>
    </xf>
    <xf numFmtId="164" fontId="1" fillId="2" borderId="13" xfId="0" applyNumberFormat="1" applyFont="1" applyFill="1" applyBorder="1" applyAlignment="1">
      <alignment horizontal="right" vertical="center" wrapText="1" readingOrder="1"/>
    </xf>
    <xf numFmtId="3" fontId="4" fillId="2" borderId="11" xfId="0" applyNumberFormat="1" applyFont="1" applyFill="1" applyBorder="1" applyAlignment="1">
      <alignment horizontal="right" vertical="center" wrapText="1" readingOrder="1"/>
    </xf>
    <xf numFmtId="3" fontId="4" fillId="2" borderId="3" xfId="0" applyNumberFormat="1" applyFont="1" applyFill="1" applyBorder="1" applyAlignment="1">
      <alignment horizontal="right" vertical="center" wrapText="1" readingOrder="1"/>
    </xf>
    <xf numFmtId="3" fontId="4" fillId="2" borderId="15" xfId="0" applyNumberFormat="1" applyFont="1" applyFill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5" fillId="0" borderId="7" xfId="0" applyFont="1" applyBorder="1" applyAlignment="1">
      <alignment horizontal="left" vertical="center" wrapText="1" indent="3" readingOrder="1"/>
    </xf>
    <xf numFmtId="0" fontId="5" fillId="0" borderId="7" xfId="0" quotePrefix="1" applyFont="1" applyFill="1" applyBorder="1" applyAlignment="1">
      <alignment horizontal="left" vertical="center" wrapText="1" indent="3" readingOrder="1"/>
    </xf>
    <xf numFmtId="0" fontId="4" fillId="0" borderId="7" xfId="0" applyFont="1" applyBorder="1" applyAlignment="1">
      <alignment horizontal="left" vertical="center" wrapText="1" readingOrder="1"/>
    </xf>
    <xf numFmtId="0" fontId="1" fillId="5" borderId="7" xfId="0" applyFont="1" applyFill="1" applyBorder="1" applyAlignment="1">
      <alignment horizontal="left" vertical="center" wrapText="1" readingOrder="1"/>
    </xf>
    <xf numFmtId="0" fontId="5" fillId="5" borderId="7" xfId="0" applyFont="1" applyFill="1" applyBorder="1" applyAlignment="1">
      <alignment horizontal="left" vertical="center" wrapText="1" indent="3" readingOrder="1"/>
    </xf>
    <xf numFmtId="0" fontId="1" fillId="0" borderId="7" xfId="0" applyFont="1" applyBorder="1" applyAlignment="1">
      <alignment horizontal="left" vertical="center" wrapText="1" readingOrder="1"/>
    </xf>
    <xf numFmtId="0" fontId="4" fillId="3" borderId="7" xfId="0" applyFont="1" applyFill="1" applyBorder="1" applyAlignment="1">
      <alignment horizontal="left" vertical="center" wrapText="1" readingOrder="1"/>
    </xf>
    <xf numFmtId="0" fontId="1" fillId="2" borderId="7" xfId="0" applyFont="1" applyFill="1" applyBorder="1" applyAlignment="1">
      <alignment horizontal="left" vertical="center" wrapText="1" readingOrder="1"/>
    </xf>
    <xf numFmtId="0" fontId="1" fillId="2" borderId="2" xfId="0" applyFont="1" applyFill="1" applyBorder="1" applyAlignment="1">
      <alignment horizontal="left" vertical="center" wrapText="1" readingOrder="1"/>
    </xf>
    <xf numFmtId="0" fontId="1" fillId="7" borderId="9" xfId="0" applyFont="1" applyFill="1" applyBorder="1" applyAlignment="1">
      <alignment horizontal="left" vertical="center" wrapText="1" readingOrder="1"/>
    </xf>
    <xf numFmtId="3" fontId="1" fillId="7" borderId="14" xfId="0" applyNumberFormat="1" applyFont="1" applyFill="1" applyBorder="1" applyAlignment="1">
      <alignment horizontal="right" vertical="center" wrapText="1" readingOrder="1"/>
    </xf>
    <xf numFmtId="0" fontId="1" fillId="3" borderId="0" xfId="0" applyFont="1" applyFill="1" applyBorder="1" applyAlignment="1">
      <alignment horizontal="left" vertical="center" wrapText="1" readingOrder="1"/>
    </xf>
    <xf numFmtId="0" fontId="4" fillId="3" borderId="0" xfId="0" applyFont="1" applyFill="1" applyBorder="1" applyAlignment="1">
      <alignment horizontal="left" vertical="center" wrapText="1" readingOrder="1"/>
    </xf>
    <xf numFmtId="0" fontId="1" fillId="3" borderId="4" xfId="0" applyFont="1" applyFill="1" applyBorder="1" applyAlignment="1">
      <alignment horizontal="left" vertical="center" wrapText="1" readingOrder="1"/>
    </xf>
    <xf numFmtId="3" fontId="1" fillId="3" borderId="4" xfId="0" applyNumberFormat="1" applyFont="1" applyFill="1" applyBorder="1" applyAlignment="1">
      <alignment horizontal="right" vertical="center" wrapText="1" readingOrder="1"/>
    </xf>
    <xf numFmtId="0" fontId="4" fillId="3" borderId="13" xfId="0" applyFont="1" applyFill="1" applyBorder="1" applyAlignment="1">
      <alignment horizontal="left" vertical="center" wrapText="1" readingOrder="1"/>
    </xf>
    <xf numFmtId="0" fontId="1" fillId="3" borderId="13" xfId="0" applyFont="1" applyFill="1" applyBorder="1" applyAlignment="1">
      <alignment horizontal="left" vertical="center" wrapText="1" readingOrder="1"/>
    </xf>
    <xf numFmtId="3" fontId="2" fillId="0" borderId="4" xfId="0" applyNumberFormat="1" applyFont="1" applyBorder="1"/>
    <xf numFmtId="4" fontId="4" fillId="3" borderId="0" xfId="0" applyNumberFormat="1" applyFont="1" applyFill="1" applyBorder="1" applyAlignment="1">
      <alignment horizontal="right" vertical="center" wrapText="1" readingOrder="1"/>
    </xf>
    <xf numFmtId="0" fontId="4" fillId="3" borderId="4" xfId="0" applyFont="1" applyFill="1" applyBorder="1" applyAlignment="1">
      <alignment horizontal="left" vertical="center" wrapText="1" readingOrder="1"/>
    </xf>
    <xf numFmtId="3" fontId="4" fillId="3" borderId="4" xfId="0" applyNumberFormat="1" applyFont="1" applyFill="1" applyBorder="1" applyAlignment="1">
      <alignment horizontal="right" vertical="center" wrapText="1" readingOrder="1"/>
    </xf>
    <xf numFmtId="0" fontId="1" fillId="3" borderId="11" xfId="0" applyFont="1" applyFill="1" applyBorder="1" applyAlignment="1">
      <alignment horizontal="left" vertical="center" wrapText="1" readingOrder="1"/>
    </xf>
    <xf numFmtId="4" fontId="1" fillId="3" borderId="15" xfId="0" applyNumberFormat="1" applyFont="1" applyFill="1" applyBorder="1" applyAlignment="1">
      <alignment horizontal="right" vertical="center" wrapText="1" readingOrder="1"/>
    </xf>
    <xf numFmtId="3" fontId="13" fillId="3" borderId="5" xfId="0" applyNumberFormat="1" applyFont="1" applyFill="1" applyBorder="1" applyAlignment="1">
      <alignment horizontal="right" vertical="center" wrapText="1" readingOrder="1"/>
    </xf>
    <xf numFmtId="3" fontId="13" fillId="3" borderId="4" xfId="0" applyNumberFormat="1" applyFont="1" applyFill="1" applyBorder="1" applyAlignment="1">
      <alignment horizontal="right" vertical="center" wrapText="1" readingOrder="1"/>
    </xf>
    <xf numFmtId="164" fontId="13" fillId="6" borderId="0" xfId="0" applyNumberFormat="1" applyFont="1" applyFill="1" applyBorder="1"/>
    <xf numFmtId="164" fontId="13" fillId="6" borderId="0" xfId="0" applyNumberFormat="1" applyFont="1" applyFill="1"/>
    <xf numFmtId="0" fontId="2" fillId="3" borderId="0" xfId="0" applyFont="1" applyFill="1" applyAlignment="1">
      <alignment vertical="top"/>
    </xf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center" wrapText="1"/>
    </xf>
    <xf numFmtId="9" fontId="2" fillId="3" borderId="0" xfId="0" applyNumberFormat="1" applyFont="1" applyFill="1" applyAlignment="1">
      <alignment vertical="top"/>
    </xf>
    <xf numFmtId="164" fontId="2" fillId="3" borderId="0" xfId="0" applyNumberFormat="1" applyFont="1" applyFill="1" applyAlignment="1">
      <alignment vertical="top"/>
    </xf>
    <xf numFmtId="0" fontId="13" fillId="3" borderId="0" xfId="0" applyFont="1" applyFill="1" applyAlignment="1">
      <alignment vertical="top"/>
    </xf>
    <xf numFmtId="1" fontId="13" fillId="3" borderId="0" xfId="0" applyNumberFormat="1" applyFont="1" applyFill="1" applyAlignment="1">
      <alignment vertical="top"/>
    </xf>
    <xf numFmtId="0" fontId="6" fillId="3" borderId="0" xfId="0" applyFont="1" applyFill="1" applyAlignment="1">
      <alignment vertical="top"/>
    </xf>
    <xf numFmtId="2" fontId="6" fillId="3" borderId="0" xfId="0" applyNumberFormat="1" applyFont="1" applyFill="1" applyAlignment="1">
      <alignment vertical="top"/>
    </xf>
    <xf numFmtId="9" fontId="6" fillId="3" borderId="0" xfId="0" applyNumberFormat="1" applyFont="1" applyFill="1" applyAlignment="1">
      <alignment vertical="top"/>
    </xf>
    <xf numFmtId="164" fontId="6" fillId="3" borderId="0" xfId="0" applyNumberFormat="1" applyFont="1" applyFill="1" applyAlignment="1">
      <alignment vertical="top"/>
    </xf>
    <xf numFmtId="2" fontId="2" fillId="3" borderId="0" xfId="0" applyNumberFormat="1" applyFont="1" applyFill="1" applyAlignment="1">
      <alignment vertical="top"/>
    </xf>
    <xf numFmtId="0" fontId="2" fillId="3" borderId="4" xfId="0" applyFont="1" applyFill="1" applyBorder="1" applyAlignment="1">
      <alignment vertical="top"/>
    </xf>
    <xf numFmtId="0" fontId="3" fillId="4" borderId="0" xfId="0" applyFont="1" applyFill="1" applyAlignment="1">
      <alignment vertical="top" wrapText="1"/>
    </xf>
    <xf numFmtId="0" fontId="15" fillId="3" borderId="0" xfId="0" applyFont="1" applyFill="1" applyAlignment="1">
      <alignment horizontal="center" vertical="top" wrapText="1"/>
    </xf>
    <xf numFmtId="0" fontId="3" fillId="4" borderId="0" xfId="0" applyFont="1" applyFill="1" applyAlignment="1">
      <alignment horizontal="center" vertical="top" wrapText="1"/>
    </xf>
    <xf numFmtId="10" fontId="2" fillId="0" borderId="0" xfId="0" applyNumberFormat="1" applyFont="1" applyBorder="1"/>
    <xf numFmtId="2" fontId="2" fillId="2" borderId="0" xfId="0" applyNumberFormat="1" applyFont="1" applyFill="1" applyAlignment="1">
      <alignment vertical="top"/>
    </xf>
    <xf numFmtId="0" fontId="4" fillId="0" borderId="0" xfId="0" applyFont="1" applyAlignment="1">
      <alignment horizontal="left" vertical="center" wrapText="1" readingOrder="1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 wrapText="1" readingOrder="1"/>
    </xf>
    <xf numFmtId="0" fontId="3" fillId="4" borderId="3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right" wrapText="1"/>
    </xf>
    <xf numFmtId="0" fontId="3" fillId="4" borderId="3" xfId="0" applyFont="1" applyFill="1" applyBorder="1" applyAlignment="1">
      <alignment horizontal="center" vertical="center" readingOrder="1"/>
    </xf>
    <xf numFmtId="0" fontId="3" fillId="4" borderId="15" xfId="0" applyFont="1" applyFill="1" applyBorder="1" applyAlignment="1">
      <alignment horizontal="center" vertical="center" readingOrder="1"/>
    </xf>
    <xf numFmtId="0" fontId="3" fillId="4" borderId="0" xfId="0" applyFont="1" applyFill="1" applyAlignment="1">
      <alignment horizontal="center" vertical="center" textRotation="90"/>
    </xf>
    <xf numFmtId="0" fontId="3" fillId="4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 vertical="center" textRotation="90"/>
    </xf>
    <xf numFmtId="0" fontId="3" fillId="4" borderId="0" xfId="0" applyFont="1" applyFill="1" applyAlignment="1">
      <alignment horizontal="center" vertical="top"/>
    </xf>
    <xf numFmtId="0" fontId="9" fillId="3" borderId="0" xfId="0" applyFont="1" applyFill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130"/>
  <sheetViews>
    <sheetView showGridLines="0" tabSelected="1" zoomScale="110" zoomScaleNormal="110" workbookViewId="0">
      <selection sqref="A1:K1"/>
    </sheetView>
  </sheetViews>
  <sheetFormatPr defaultColWidth="13.42578125" defaultRowHeight="12"/>
  <cols>
    <col min="1" max="1" width="29.85546875" style="2" customWidth="1"/>
    <col min="2" max="5" width="7.28515625" style="2" customWidth="1"/>
    <col min="6" max="6" width="10.28515625" style="2" customWidth="1"/>
    <col min="7" max="11" width="7.28515625" style="2" customWidth="1"/>
    <col min="12" max="12" width="2.42578125" style="2" customWidth="1"/>
    <col min="13" max="13" width="35.7109375" style="2" customWidth="1"/>
    <col min="14" max="14" width="7" style="2" bestFit="1" customWidth="1"/>
    <col min="15" max="15" width="2.5703125" style="2" customWidth="1"/>
    <col min="16" max="16" width="30.85546875" style="2" customWidth="1"/>
    <col min="17" max="17" width="13.42578125" style="2"/>
    <col min="18" max="18" width="2.42578125" style="2" customWidth="1"/>
    <col min="19" max="19" width="3.42578125" style="2" customWidth="1"/>
    <col min="20" max="24" width="7" style="2" customWidth="1"/>
    <col min="25" max="25" width="6.85546875" style="2" customWidth="1"/>
    <col min="26" max="16384" width="13.42578125" style="2"/>
  </cols>
  <sheetData>
    <row r="1" spans="1:25">
      <c r="A1" s="235" t="s">
        <v>3</v>
      </c>
      <c r="B1" s="235"/>
      <c r="C1" s="235"/>
      <c r="D1" s="235"/>
      <c r="E1" s="235"/>
      <c r="F1" s="235"/>
      <c r="G1" s="235"/>
      <c r="H1" s="235"/>
      <c r="I1" s="235"/>
      <c r="J1" s="235"/>
      <c r="K1" s="236"/>
      <c r="L1" s="113"/>
      <c r="M1" s="231" t="s">
        <v>3</v>
      </c>
      <c r="N1" s="232"/>
      <c r="O1" s="232"/>
      <c r="P1" s="232"/>
      <c r="Q1" s="233"/>
      <c r="S1" s="228" t="s">
        <v>3</v>
      </c>
      <c r="T1" s="228"/>
      <c r="U1" s="228"/>
      <c r="V1" s="228"/>
      <c r="W1" s="228"/>
      <c r="X1" s="228"/>
      <c r="Y1" s="228"/>
    </row>
    <row r="2" spans="1:25">
      <c r="A2" s="109" t="s">
        <v>33</v>
      </c>
      <c r="B2" s="227" t="s">
        <v>11</v>
      </c>
      <c r="C2" s="227"/>
      <c r="D2" s="227"/>
      <c r="E2" s="227"/>
      <c r="F2" s="26" t="s">
        <v>17</v>
      </c>
      <c r="G2" s="224" t="s">
        <v>18</v>
      </c>
      <c r="H2" s="225"/>
      <c r="I2" s="225"/>
      <c r="J2" s="225"/>
      <c r="K2" s="226"/>
      <c r="L2" s="234"/>
      <c r="M2" s="141"/>
      <c r="N2" s="112"/>
      <c r="O2" s="111"/>
      <c r="P2" s="142"/>
      <c r="Q2" s="114"/>
      <c r="S2" s="225" t="s">
        <v>74</v>
      </c>
      <c r="T2" s="225"/>
      <c r="U2" s="225"/>
      <c r="V2" s="225"/>
      <c r="W2" s="225"/>
      <c r="X2" s="225"/>
      <c r="Y2" s="225"/>
    </row>
    <row r="3" spans="1:25">
      <c r="A3" s="110"/>
      <c r="B3" s="67">
        <v>2006</v>
      </c>
      <c r="C3" s="67">
        <v>2007</v>
      </c>
      <c r="D3" s="67">
        <v>2008</v>
      </c>
      <c r="E3" s="67">
        <v>2009</v>
      </c>
      <c r="F3" s="27" t="s">
        <v>49</v>
      </c>
      <c r="G3" s="144">
        <f>E3+1</f>
        <v>2010</v>
      </c>
      <c r="H3" s="68">
        <f>G3+1</f>
        <v>2011</v>
      </c>
      <c r="I3" s="68">
        <f t="shared" ref="I3:K3" si="0">H3+1</f>
        <v>2012</v>
      </c>
      <c r="J3" s="68">
        <f t="shared" si="0"/>
        <v>2013</v>
      </c>
      <c r="K3" s="145">
        <f t="shared" si="0"/>
        <v>2014</v>
      </c>
      <c r="L3" s="234"/>
      <c r="M3" s="230" t="s">
        <v>47</v>
      </c>
      <c r="N3" s="229"/>
      <c r="O3" s="143"/>
      <c r="P3" s="228" t="s">
        <v>46</v>
      </c>
      <c r="Q3" s="229"/>
      <c r="S3" s="106"/>
      <c r="T3" s="106"/>
      <c r="U3" s="238" t="s">
        <v>61</v>
      </c>
      <c r="V3" s="238"/>
      <c r="W3" s="238"/>
      <c r="X3" s="238"/>
      <c r="Y3" s="238"/>
    </row>
    <row r="4" spans="1:25">
      <c r="A4" s="177" t="s">
        <v>4</v>
      </c>
      <c r="B4" s="168">
        <v>2955.3</v>
      </c>
      <c r="C4" s="169">
        <v>3568.1</v>
      </c>
      <c r="D4" s="168">
        <v>4102.3</v>
      </c>
      <c r="E4" s="169">
        <v>4662.6000000000004</v>
      </c>
      <c r="F4" s="147">
        <f>(E4/B4)^(1/3)-1</f>
        <v>0.16414978383876488</v>
      </c>
      <c r="G4" s="61">
        <f>E4*(1+G5)</f>
        <v>5035.6080000000011</v>
      </c>
      <c r="H4" s="54">
        <f t="shared" ref="H4:K4" si="1">G4*(1+H5)</f>
        <v>5438.4566400000012</v>
      </c>
      <c r="I4" s="61">
        <f t="shared" si="1"/>
        <v>5873.5331712000016</v>
      </c>
      <c r="J4" s="61">
        <f t="shared" si="1"/>
        <v>6343.4158248960021</v>
      </c>
      <c r="K4" s="54">
        <f t="shared" si="1"/>
        <v>6850.8890908876829</v>
      </c>
      <c r="L4" s="37"/>
      <c r="M4" s="78" t="s">
        <v>24</v>
      </c>
      <c r="N4" s="79"/>
      <c r="O4" s="38"/>
      <c r="P4" s="187" t="s">
        <v>5</v>
      </c>
      <c r="Q4" s="188"/>
      <c r="S4" s="117">
        <f>Q12</f>
        <v>5539.9111192209475</v>
      </c>
      <c r="T4" s="134">
        <f>Q12</f>
        <v>5539.9111192209475</v>
      </c>
      <c r="U4" s="132">
        <f>V4-0.005</f>
        <v>1.9999999999999997E-2</v>
      </c>
      <c r="V4" s="132">
        <f>W4-0.005</f>
        <v>2.4999999999999998E-2</v>
      </c>
      <c r="W4" s="204">
        <v>0.03</v>
      </c>
      <c r="X4" s="132">
        <f>W4+0.005</f>
        <v>3.4999999999999996E-2</v>
      </c>
      <c r="Y4" s="132">
        <f>X4+0.005</f>
        <v>3.9999999999999994E-2</v>
      </c>
    </row>
    <row r="5" spans="1:25" s="28" customFormat="1">
      <c r="A5" s="178" t="s">
        <v>8</v>
      </c>
      <c r="B5" s="44"/>
      <c r="C5" s="50">
        <f>(C4/B4)-1</f>
        <v>0.20735627516664956</v>
      </c>
      <c r="D5" s="44">
        <f>(D4/C4)-1</f>
        <v>0.14971553487850686</v>
      </c>
      <c r="E5" s="50">
        <f>(E4/D4)-1</f>
        <v>0.13658191746093662</v>
      </c>
      <c r="F5" s="44"/>
      <c r="G5" s="97">
        <v>0.08</v>
      </c>
      <c r="H5" s="96">
        <f>G5</f>
        <v>0.08</v>
      </c>
      <c r="I5" s="97">
        <f>H5</f>
        <v>0.08</v>
      </c>
      <c r="J5" s="97">
        <f t="shared" ref="J5:K5" si="2">I5</f>
        <v>0.08</v>
      </c>
      <c r="K5" s="97">
        <f t="shared" si="2"/>
        <v>0.08</v>
      </c>
      <c r="L5" s="35"/>
      <c r="M5" s="73" t="s">
        <v>63</v>
      </c>
      <c r="N5" s="13"/>
      <c r="O5" s="38"/>
      <c r="P5" s="190" t="s">
        <v>72</v>
      </c>
      <c r="Q5" s="54">
        <f>SUM(G29:K29)</f>
        <v>1752.746230844218</v>
      </c>
      <c r="S5" s="237" t="s">
        <v>2</v>
      </c>
      <c r="T5" s="133">
        <f>T6-0.01</f>
        <v>9.3507486823983618E-2</v>
      </c>
      <c r="U5" s="126">
        <f t="dataTable" ref="U5:Y9" dt2D="1" dtr="1" r1="B33" r2="N22" ca="1"/>
        <v>6496.2511992176069</v>
      </c>
      <c r="V5" s="126">
        <v>6861.2416151079951</v>
      </c>
      <c r="W5" s="126">
        <v>7283.7040605406646</v>
      </c>
      <c r="X5" s="126">
        <v>7778.3730676230616</v>
      </c>
      <c r="Y5" s="126">
        <v>8365.4906340462585</v>
      </c>
    </row>
    <row r="6" spans="1:25" s="29" customFormat="1">
      <c r="A6" s="179"/>
      <c r="B6" s="45"/>
      <c r="C6" s="51"/>
      <c r="D6" s="45"/>
      <c r="E6" s="51"/>
      <c r="F6" s="45"/>
      <c r="G6" s="63"/>
      <c r="H6" s="56"/>
      <c r="I6" s="63"/>
      <c r="J6" s="63"/>
      <c r="K6" s="56"/>
      <c r="L6" s="36"/>
      <c r="M6" s="8" t="s">
        <v>20</v>
      </c>
      <c r="N6" s="80">
        <f>1-N7</f>
        <v>0.29083547778514185</v>
      </c>
      <c r="O6" s="38"/>
      <c r="P6" s="189"/>
      <c r="Q6" s="131"/>
      <c r="S6" s="237"/>
      <c r="T6" s="133">
        <f>T7-0.01</f>
        <v>0.10350748682398361</v>
      </c>
      <c r="U6" s="119">
        <v>5714.8008419895214</v>
      </c>
      <c r="V6" s="127">
        <v>5985.1347295602482</v>
      </c>
      <c r="W6" s="127">
        <v>6292.2449917903414</v>
      </c>
      <c r="X6" s="127">
        <v>6644.1839693138663</v>
      </c>
      <c r="Y6" s="119">
        <v>7051.5398740571618</v>
      </c>
    </row>
    <row r="7" spans="1:25" s="28" customFormat="1">
      <c r="A7" s="180" t="s">
        <v>60</v>
      </c>
      <c r="B7" s="43">
        <v>-2511.1</v>
      </c>
      <c r="C7" s="43">
        <v>-3047.1</v>
      </c>
      <c r="D7" s="43">
        <v>-3524.4</v>
      </c>
      <c r="E7" s="43">
        <v>-4031.4</v>
      </c>
      <c r="F7" s="147">
        <f>(E7/B7)^(1/3)-1</f>
        <v>0.17092917700619825</v>
      </c>
      <c r="G7" s="61">
        <f>-(G4-G10)</f>
        <v>-4315.5160560000013</v>
      </c>
      <c r="H7" s="54">
        <f t="shared" ref="H7:K7" si="3">-(H4-H10)</f>
        <v>-4660.7573404800014</v>
      </c>
      <c r="I7" s="54">
        <f t="shared" si="3"/>
        <v>-5033.6179277184019</v>
      </c>
      <c r="J7" s="54">
        <f t="shared" si="3"/>
        <v>-5436.3073619358738</v>
      </c>
      <c r="K7" s="54">
        <f t="shared" si="3"/>
        <v>-5871.2119508907444</v>
      </c>
      <c r="L7" s="37"/>
      <c r="M7" s="8" t="s">
        <v>21</v>
      </c>
      <c r="N7" s="107">
        <f>'Beta and capital structure'!F10</f>
        <v>0.70916452221485815</v>
      </c>
      <c r="O7" s="38"/>
      <c r="P7" s="189" t="s">
        <v>27</v>
      </c>
      <c r="Q7" s="37">
        <f>B35</f>
        <v>6483.0582130861349</v>
      </c>
      <c r="S7" s="237"/>
      <c r="T7" s="203">
        <v>0.11350748682398361</v>
      </c>
      <c r="U7" s="128">
        <v>5102.0627402802174</v>
      </c>
      <c r="V7" s="127">
        <v>5308.6193777317485</v>
      </c>
      <c r="W7" s="129">
        <v>5539.9111192209475</v>
      </c>
      <c r="X7" s="127">
        <v>5800.6639670130089</v>
      </c>
      <c r="Y7" s="128">
        <v>6096.8897794047789</v>
      </c>
    </row>
    <row r="8" spans="1:25" s="28" customFormat="1">
      <c r="A8" s="178" t="s">
        <v>9</v>
      </c>
      <c r="B8" s="44">
        <f>-B7/B4</f>
        <v>0.84969377051399175</v>
      </c>
      <c r="C8" s="44">
        <f t="shared" ref="C8:E8" si="4">-C7/C4</f>
        <v>0.85398391300692245</v>
      </c>
      <c r="D8" s="44">
        <f t="shared" si="4"/>
        <v>0.85912780635253394</v>
      </c>
      <c r="E8" s="44">
        <f t="shared" si="4"/>
        <v>0.86462488740187871</v>
      </c>
      <c r="F8" s="44"/>
      <c r="G8" s="62">
        <f>-(G7/G4)</f>
        <v>0.8570000000000001</v>
      </c>
      <c r="H8" s="55">
        <f t="shared" ref="H8:K8" si="5">-(H7/H4)</f>
        <v>0.8570000000000001</v>
      </c>
      <c r="I8" s="55">
        <f t="shared" si="5"/>
        <v>0.8570000000000001</v>
      </c>
      <c r="J8" s="55">
        <f t="shared" si="5"/>
        <v>0.85699999999999998</v>
      </c>
      <c r="K8" s="55">
        <f t="shared" si="5"/>
        <v>0.85699999999999998</v>
      </c>
      <c r="L8" s="35"/>
      <c r="M8" s="8" t="s">
        <v>101</v>
      </c>
      <c r="N8" s="107">
        <f>'Beta and capital structure'!E10</f>
        <v>0.41756272401433686</v>
      </c>
      <c r="O8" s="38"/>
      <c r="P8" s="190" t="s">
        <v>26</v>
      </c>
      <c r="Q8" s="196">
        <f>B38</f>
        <v>0.58416333216510219</v>
      </c>
      <c r="S8" s="237"/>
      <c r="T8" s="133">
        <f>T7+0.01</f>
        <v>0.1235074868239836</v>
      </c>
      <c r="U8" s="119">
        <v>4609.026857578333</v>
      </c>
      <c r="V8" s="127">
        <v>4770.7950855074514</v>
      </c>
      <c r="W8" s="127">
        <v>4949.8633429233678</v>
      </c>
      <c r="X8" s="127">
        <v>5149.1635901789705</v>
      </c>
      <c r="Y8" s="119">
        <v>5372.3299906186221</v>
      </c>
    </row>
    <row r="9" spans="1:25" s="28" customFormat="1">
      <c r="A9" s="180"/>
      <c r="B9" s="48"/>
      <c r="C9" s="53"/>
      <c r="D9" s="48"/>
      <c r="E9" s="53"/>
      <c r="F9" s="43"/>
      <c r="G9" s="71"/>
      <c r="H9" s="72"/>
      <c r="I9" s="71"/>
      <c r="J9" s="71"/>
      <c r="K9" s="72"/>
      <c r="L9" s="35"/>
      <c r="M9" s="8"/>
      <c r="N9" s="13"/>
      <c r="O9" s="38"/>
      <c r="P9" s="189" t="s">
        <v>73</v>
      </c>
      <c r="Q9" s="131">
        <f>B39</f>
        <v>3787.1648883767298</v>
      </c>
      <c r="S9" s="237"/>
      <c r="T9" s="133">
        <f>T8+0.01</f>
        <v>0.13350748682398361</v>
      </c>
      <c r="U9" s="119">
        <v>4203.9625399938086</v>
      </c>
      <c r="V9" s="119">
        <v>4333.2202120064558</v>
      </c>
      <c r="W9" s="119">
        <v>4474.9656446612353</v>
      </c>
      <c r="X9" s="119">
        <v>4631.1003828627136</v>
      </c>
      <c r="Y9" s="119">
        <v>4803.9326865217463</v>
      </c>
    </row>
    <row r="10" spans="1:25" s="28" customFormat="1">
      <c r="A10" s="181" t="s">
        <v>0</v>
      </c>
      <c r="B10" s="154">
        <v>444.20000000000027</v>
      </c>
      <c r="C10" s="70">
        <v>521</v>
      </c>
      <c r="D10" s="70">
        <v>577.90000000000009</v>
      </c>
      <c r="E10" s="155">
        <v>631.20000000000027</v>
      </c>
      <c r="F10" s="148">
        <f>(E10/B10)^(1/3)-1</f>
        <v>0.12424978191999148</v>
      </c>
      <c r="G10" s="154">
        <f>G11*G4</f>
        <v>720.09194400000013</v>
      </c>
      <c r="H10" s="70">
        <f>H11*H4</f>
        <v>777.69929952000007</v>
      </c>
      <c r="I10" s="70">
        <f>I11*I4</f>
        <v>839.9152434816001</v>
      </c>
      <c r="J10" s="70">
        <f>J11*J4</f>
        <v>907.10846296012824</v>
      </c>
      <c r="K10" s="155">
        <f>K11*K4</f>
        <v>979.67713999693854</v>
      </c>
      <c r="L10" s="35"/>
      <c r="M10" s="73" t="s">
        <v>7</v>
      </c>
      <c r="N10" s="13"/>
      <c r="O10" s="38"/>
      <c r="P10" s="42" t="s">
        <v>50</v>
      </c>
      <c r="Q10" s="4">
        <f>Q9/Q12</f>
        <v>0.68361473801213291</v>
      </c>
      <c r="S10" s="116"/>
    </row>
    <row r="11" spans="1:25" s="28" customFormat="1">
      <c r="A11" s="182" t="s">
        <v>16</v>
      </c>
      <c r="B11" s="170">
        <f>B10/B4</f>
        <v>0.15030622948600827</v>
      </c>
      <c r="C11" s="69">
        <f>C10/C4</f>
        <v>0.14601608699307755</v>
      </c>
      <c r="D11" s="69">
        <f>D10/D4</f>
        <v>0.14087219364746606</v>
      </c>
      <c r="E11" s="171">
        <f>E10/E4</f>
        <v>0.13537511259812127</v>
      </c>
      <c r="F11" s="149"/>
      <c r="G11" s="156">
        <v>0.14299999999999999</v>
      </c>
      <c r="H11" s="123">
        <f>G11</f>
        <v>0.14299999999999999</v>
      </c>
      <c r="I11" s="123">
        <f t="shared" ref="I11:K11" si="6">H11</f>
        <v>0.14299999999999999</v>
      </c>
      <c r="J11" s="123">
        <f t="shared" si="6"/>
        <v>0.14299999999999999</v>
      </c>
      <c r="K11" s="157">
        <f t="shared" si="6"/>
        <v>0.14299999999999999</v>
      </c>
      <c r="L11" s="35"/>
      <c r="M11" s="8" t="s">
        <v>64</v>
      </c>
      <c r="N11" s="107">
        <v>0.04</v>
      </c>
      <c r="O11" s="38"/>
      <c r="P11" s="191"/>
      <c r="Q11" s="192"/>
      <c r="S11" s="106"/>
      <c r="T11" s="106"/>
      <c r="U11" s="238" t="s">
        <v>62</v>
      </c>
      <c r="V11" s="238"/>
      <c r="W11" s="238"/>
      <c r="X11" s="238"/>
      <c r="Y11" s="238"/>
    </row>
    <row r="12" spans="1:25" s="28" customFormat="1">
      <c r="A12" s="180"/>
      <c r="B12" s="146"/>
      <c r="C12" s="30"/>
      <c r="D12" s="30"/>
      <c r="E12" s="49"/>
      <c r="F12" s="43"/>
      <c r="G12" s="158"/>
      <c r="H12" s="38"/>
      <c r="I12" s="38"/>
      <c r="J12" s="38"/>
      <c r="K12" s="115"/>
      <c r="L12" s="35"/>
      <c r="M12" s="8" t="s">
        <v>65</v>
      </c>
      <c r="N12" s="107">
        <v>7.0999999999999994E-2</v>
      </c>
      <c r="O12" s="38"/>
      <c r="P12" s="194" t="s">
        <v>5</v>
      </c>
      <c r="Q12" s="131">
        <f>SUM(G29:K29)+B39</f>
        <v>5539.9111192209475</v>
      </c>
      <c r="S12" s="117" t="e">
        <f>#REF!</f>
        <v>#REF!</v>
      </c>
      <c r="T12" s="125">
        <f>Q12</f>
        <v>5539.9111192209475</v>
      </c>
      <c r="U12" s="132">
        <f>V12-0.005</f>
        <v>6.9999999999999993E-2</v>
      </c>
      <c r="V12" s="132">
        <f>W12-0.005</f>
        <v>7.4999999999999997E-2</v>
      </c>
      <c r="W12" s="204">
        <v>0.08</v>
      </c>
      <c r="X12" s="132">
        <f>W12+0.005</f>
        <v>8.5000000000000006E-2</v>
      </c>
      <c r="Y12" s="132">
        <f>X12+0.005</f>
        <v>9.0000000000000011E-2</v>
      </c>
    </row>
    <row r="13" spans="1:25" s="28" customFormat="1">
      <c r="A13" s="180" t="s">
        <v>102</v>
      </c>
      <c r="B13" s="43">
        <v>-48.7</v>
      </c>
      <c r="C13" s="49">
        <v>-62.5</v>
      </c>
      <c r="D13" s="43">
        <v>-75</v>
      </c>
      <c r="E13" s="49">
        <v>-83.7</v>
      </c>
      <c r="F13" s="43"/>
      <c r="G13" s="64">
        <f>-G4*G14</f>
        <v>-90.640944000000019</v>
      </c>
      <c r="H13" s="57">
        <f>-H4*H14</f>
        <v>-97.892219520000012</v>
      </c>
      <c r="I13" s="57">
        <f>-I4*I14</f>
        <v>-105.72359708160002</v>
      </c>
      <c r="J13" s="57">
        <f>-J4*J14</f>
        <v>-114.18148484812802</v>
      </c>
      <c r="K13" s="57">
        <f>-K4*K14</f>
        <v>-123.31600363597828</v>
      </c>
      <c r="L13" s="35"/>
      <c r="M13" s="8" t="s">
        <v>66</v>
      </c>
      <c r="N13" s="108">
        <f>'Beta and capital structure'!F18</f>
        <v>1.2159637157227126</v>
      </c>
      <c r="O13" s="38"/>
      <c r="P13" s="193" t="s">
        <v>52</v>
      </c>
      <c r="Q13" s="201">
        <v>100</v>
      </c>
      <c r="S13" s="237" t="s">
        <v>56</v>
      </c>
      <c r="T13" s="133">
        <f>T14-0.01</f>
        <v>0.12299999999999998</v>
      </c>
      <c r="U13" s="126">
        <f t="dataTable" ref="U13:Y17" dt2D="1" dtr="1" r1="G5" r2="G11"/>
        <v>4402.2749091465284</v>
      </c>
      <c r="V13" s="126">
        <v>4467.8872996447217</v>
      </c>
      <c r="W13" s="126">
        <v>4534.3069411227216</v>
      </c>
      <c r="X13" s="126">
        <v>4601.5400754697066</v>
      </c>
      <c r="Y13" s="126">
        <v>4669.5929587246901</v>
      </c>
    </row>
    <row r="14" spans="1:25" s="28" customFormat="1">
      <c r="A14" s="178" t="s">
        <v>9</v>
      </c>
      <c r="B14" s="46">
        <f>-(B13/B4)</f>
        <v>1.6478868473589821E-2</v>
      </c>
      <c r="C14" s="46">
        <f>-(C13/C4)</f>
        <v>1.7516325215100475E-2</v>
      </c>
      <c r="D14" s="46">
        <f>-(D13/D4)</f>
        <v>1.8282426931233699E-2</v>
      </c>
      <c r="E14" s="46">
        <f>-(E13/E4)</f>
        <v>1.7951357611632995E-2</v>
      </c>
      <c r="F14" s="150"/>
      <c r="G14" s="159">
        <v>1.7999999999999999E-2</v>
      </c>
      <c r="H14" s="99">
        <f>G14</f>
        <v>1.7999999999999999E-2</v>
      </c>
      <c r="I14" s="99">
        <f t="shared" ref="I14:K14" si="7">H14</f>
        <v>1.7999999999999999E-2</v>
      </c>
      <c r="J14" s="99">
        <f t="shared" si="7"/>
        <v>1.7999999999999999E-2</v>
      </c>
      <c r="K14" s="99">
        <f t="shared" si="7"/>
        <v>1.7999999999999999E-2</v>
      </c>
      <c r="L14" s="35"/>
      <c r="M14" s="8" t="s">
        <v>67</v>
      </c>
      <c r="N14" s="107">
        <v>1.6500000000000001E-2</v>
      </c>
      <c r="O14" s="38"/>
      <c r="P14" s="193" t="s">
        <v>51</v>
      </c>
      <c r="Q14" s="201">
        <v>300</v>
      </c>
      <c r="S14" s="237"/>
      <c r="T14" s="133">
        <f>T15-0.01</f>
        <v>0.13299999999999998</v>
      </c>
      <c r="U14" s="119">
        <v>4885.1454766862062</v>
      </c>
      <c r="V14" s="127">
        <v>4960.6377534636322</v>
      </c>
      <c r="W14" s="127">
        <v>5037.1090301718341</v>
      </c>
      <c r="X14" s="127">
        <v>5114.5678627337011</v>
      </c>
      <c r="Y14" s="119">
        <v>5193.0228422359814</v>
      </c>
    </row>
    <row r="15" spans="1:25" s="28" customFormat="1">
      <c r="A15" s="183" t="s">
        <v>1</v>
      </c>
      <c r="B15" s="47">
        <f>B10+B13</f>
        <v>395.50000000000028</v>
      </c>
      <c r="C15" s="47">
        <f t="shared" ref="C15:E15" si="8">C10+C13</f>
        <v>458.5</v>
      </c>
      <c r="D15" s="47">
        <f t="shared" si="8"/>
        <v>502.90000000000009</v>
      </c>
      <c r="E15" s="47">
        <f t="shared" si="8"/>
        <v>547.50000000000023</v>
      </c>
      <c r="F15" s="147">
        <f>(E15/B15)^(1/3)-1</f>
        <v>0.11449779067370458</v>
      </c>
      <c r="G15" s="47">
        <f>G10+G13</f>
        <v>629.45100000000014</v>
      </c>
      <c r="H15" s="47">
        <f>H10+H13</f>
        <v>679.80708000000004</v>
      </c>
      <c r="I15" s="47">
        <f>I10+I13</f>
        <v>734.19164640000008</v>
      </c>
      <c r="J15" s="47">
        <f>J10+J13</f>
        <v>792.92697811200026</v>
      </c>
      <c r="K15" s="47">
        <f>K10+K13</f>
        <v>856.36113636096024</v>
      </c>
      <c r="L15" s="38"/>
      <c r="M15" s="14" t="s">
        <v>22</v>
      </c>
      <c r="N15" s="81">
        <f>N11+(N13*N12)+N14</f>
        <v>0.14283342381631259</v>
      </c>
      <c r="O15" s="38"/>
      <c r="P15" s="193" t="s">
        <v>43</v>
      </c>
      <c r="Q15" s="54">
        <f>Q13-Q14</f>
        <v>-200</v>
      </c>
      <c r="S15" s="237"/>
      <c r="T15" s="203">
        <v>0.14299999999999999</v>
      </c>
      <c r="U15" s="128">
        <v>5368.0160442258821</v>
      </c>
      <c r="V15" s="127">
        <v>5453.38820728254</v>
      </c>
      <c r="W15" s="129">
        <v>5539.9111192209475</v>
      </c>
      <c r="X15" s="127">
        <v>5627.5956499976965</v>
      </c>
      <c r="Y15" s="128">
        <v>5716.452725747271</v>
      </c>
    </row>
    <row r="16" spans="1:25" s="28" customFormat="1">
      <c r="A16" s="180"/>
      <c r="B16" s="43"/>
      <c r="C16" s="49"/>
      <c r="D16" s="43"/>
      <c r="E16" s="49"/>
      <c r="F16" s="43"/>
      <c r="G16" s="65"/>
      <c r="H16" s="58"/>
      <c r="I16" s="65"/>
      <c r="J16" s="65"/>
      <c r="K16" s="58"/>
      <c r="L16" s="84"/>
      <c r="M16" s="74"/>
      <c r="N16" s="75"/>
      <c r="O16" s="38"/>
      <c r="P16" s="197"/>
      <c r="Q16" s="198"/>
      <c r="S16" s="237"/>
      <c r="T16" s="133">
        <f>T15+0.01</f>
        <v>0.153</v>
      </c>
      <c r="U16" s="119">
        <v>5850.886611765558</v>
      </c>
      <c r="V16" s="127">
        <v>5946.1386611014495</v>
      </c>
      <c r="W16" s="127">
        <v>6042.7132082700618</v>
      </c>
      <c r="X16" s="127">
        <v>6140.6234372616909</v>
      </c>
      <c r="Y16" s="119">
        <v>6239.8826092585659</v>
      </c>
    </row>
    <row r="17" spans="1:25" s="28" customFormat="1">
      <c r="A17" s="180" t="s">
        <v>42</v>
      </c>
      <c r="B17" s="43">
        <v>-118.65000000000008</v>
      </c>
      <c r="C17" s="43">
        <v>-137.54999999999998</v>
      </c>
      <c r="D17" s="43">
        <v>-150.87000000000003</v>
      </c>
      <c r="E17" s="43">
        <v>-164.25000000000006</v>
      </c>
      <c r="F17" s="43"/>
      <c r="G17" s="43">
        <f>$N$19*-G15</f>
        <v>-188.83530000000005</v>
      </c>
      <c r="H17" s="49">
        <f>$N$19*-H15</f>
        <v>-203.94212400000001</v>
      </c>
      <c r="I17" s="49">
        <f>$N$19*-I15</f>
        <v>-220.25749392000003</v>
      </c>
      <c r="J17" s="49">
        <f>$N$19*-J15</f>
        <v>-237.87809343360007</v>
      </c>
      <c r="K17" s="49">
        <f>$N$19*-K15</f>
        <v>-256.90834090828804</v>
      </c>
      <c r="L17" s="39"/>
      <c r="M17" s="73" t="s">
        <v>19</v>
      </c>
      <c r="N17" s="75"/>
      <c r="O17" s="38"/>
      <c r="P17" s="194" t="s">
        <v>48</v>
      </c>
      <c r="Q17" s="131">
        <f>Q12-Q15</f>
        <v>5739.9111192209475</v>
      </c>
      <c r="S17" s="237"/>
      <c r="T17" s="133">
        <f>T16+0.01</f>
        <v>0.16300000000000001</v>
      </c>
      <c r="U17" s="119">
        <v>6333.7571793052339</v>
      </c>
      <c r="V17" s="119">
        <v>6438.8891149203591</v>
      </c>
      <c r="W17" s="119">
        <v>6545.5152973191762</v>
      </c>
      <c r="X17" s="119">
        <v>6653.6512245256872</v>
      </c>
      <c r="Y17" s="119">
        <v>6763.3124927698564</v>
      </c>
    </row>
    <row r="18" spans="1:25" s="28" customFormat="1">
      <c r="A18" s="180"/>
      <c r="B18" s="43"/>
      <c r="C18" s="101"/>
      <c r="D18" s="101"/>
      <c r="E18" s="101"/>
      <c r="F18" s="43"/>
      <c r="G18" s="43"/>
      <c r="H18" s="49"/>
      <c r="I18" s="43"/>
      <c r="J18" s="43"/>
      <c r="K18" s="49"/>
      <c r="L18" s="38"/>
      <c r="M18" s="8" t="s">
        <v>19</v>
      </c>
      <c r="N18" s="107">
        <v>0.06</v>
      </c>
      <c r="O18" s="38"/>
      <c r="P18" s="197" t="s">
        <v>44</v>
      </c>
      <c r="Q18" s="202">
        <v>10000</v>
      </c>
    </row>
    <row r="19" spans="1:25" s="28" customFormat="1">
      <c r="A19" s="180" t="s">
        <v>10</v>
      </c>
      <c r="B19" s="43"/>
      <c r="C19" s="49">
        <v>-78.899999999999977</v>
      </c>
      <c r="D19" s="43">
        <v>-40.899999999999977</v>
      </c>
      <c r="E19" s="49">
        <v>-168.5</v>
      </c>
      <c r="F19" s="43"/>
      <c r="G19" s="43">
        <f>-(G20*G4)</f>
        <v>-115.81898400000003</v>
      </c>
      <c r="H19" s="49">
        <f>-(H20*H4)</f>
        <v>-125.08450272000003</v>
      </c>
      <c r="I19" s="49">
        <f>-(I20*I4)</f>
        <v>-135.09126293760002</v>
      </c>
      <c r="J19" s="49">
        <f>-(J20*J4)</f>
        <v>-145.89856397260803</v>
      </c>
      <c r="K19" s="49">
        <f>-(K20*K4)</f>
        <v>-157.5704490904167</v>
      </c>
      <c r="L19" s="40"/>
      <c r="M19" s="8" t="s">
        <v>6</v>
      </c>
      <c r="N19" s="107">
        <v>0.3</v>
      </c>
      <c r="O19" s="38"/>
      <c r="P19" s="199" t="s">
        <v>45</v>
      </c>
      <c r="Q19" s="200">
        <f>Q17/Q18</f>
        <v>0.57399111192209473</v>
      </c>
      <c r="S19" s="12"/>
      <c r="T19" s="12"/>
      <c r="U19" s="239"/>
      <c r="V19" s="239"/>
      <c r="W19" s="239"/>
      <c r="X19" s="239"/>
      <c r="Y19" s="239"/>
    </row>
    <row r="20" spans="1:25" s="28" customFormat="1">
      <c r="A20" s="178" t="s">
        <v>9</v>
      </c>
      <c r="B20" s="43"/>
      <c r="C20" s="50">
        <f>-C19/C4</f>
        <v>2.2112608951542833E-2</v>
      </c>
      <c r="D20" s="44">
        <f>-D19/D4</f>
        <v>9.9700168198327711E-3</v>
      </c>
      <c r="E20" s="50">
        <f>-E19/E4</f>
        <v>3.6138635096298201E-2</v>
      </c>
      <c r="F20" s="44"/>
      <c r="G20" s="98">
        <v>2.3E-2</v>
      </c>
      <c r="H20" s="100">
        <f>G20</f>
        <v>2.3E-2</v>
      </c>
      <c r="I20" s="100">
        <f t="shared" ref="I20:K20" si="9">H20</f>
        <v>2.3E-2</v>
      </c>
      <c r="J20" s="100">
        <f t="shared" si="9"/>
        <v>2.3E-2</v>
      </c>
      <c r="K20" s="100">
        <f t="shared" si="9"/>
        <v>2.3E-2</v>
      </c>
      <c r="L20" s="35"/>
      <c r="M20" s="73" t="s">
        <v>23</v>
      </c>
      <c r="N20" s="82">
        <f>N18*(1-N19)</f>
        <v>4.1999999999999996E-2</v>
      </c>
      <c r="O20" s="38"/>
      <c r="S20" s="124"/>
      <c r="T20" s="124"/>
      <c r="U20" s="135"/>
      <c r="V20" s="135"/>
      <c r="W20" s="135"/>
      <c r="X20" s="135"/>
      <c r="Y20" s="135"/>
    </row>
    <row r="21" spans="1:25" s="28" customFormat="1">
      <c r="A21" s="180"/>
      <c r="B21" s="43"/>
      <c r="C21" s="49"/>
      <c r="D21" s="43"/>
      <c r="E21" s="49"/>
      <c r="F21" s="43"/>
      <c r="G21" s="43"/>
      <c r="H21" s="49"/>
      <c r="I21" s="43"/>
      <c r="J21" s="43"/>
      <c r="K21" s="49"/>
      <c r="L21" s="84"/>
      <c r="M21" s="8"/>
      <c r="N21" s="13"/>
      <c r="O21" s="38"/>
      <c r="P21" s="122" t="s">
        <v>59</v>
      </c>
      <c r="Q21" s="118"/>
      <c r="S21" s="240"/>
      <c r="T21" s="35"/>
      <c r="U21" s="136"/>
      <c r="V21" s="136"/>
      <c r="W21" s="136"/>
      <c r="X21" s="136"/>
      <c r="Y21" s="136"/>
    </row>
    <row r="22" spans="1:25" s="28" customFormat="1">
      <c r="A22" s="184" t="s">
        <v>40</v>
      </c>
      <c r="B22" s="172"/>
      <c r="C22" s="131">
        <f>B56-C56</f>
        <v>-145.20103754209174</v>
      </c>
      <c r="D22" s="131">
        <f>C56-D56</f>
        <v>-77.095510761108983</v>
      </c>
      <c r="E22" s="131">
        <f>D56-E56</f>
        <v>-17.506351779737656</v>
      </c>
      <c r="F22" s="151"/>
      <c r="G22" s="151">
        <f>E56-G56</f>
        <v>1.5498526267745092</v>
      </c>
      <c r="H22" s="131">
        <f>G56-H56</f>
        <v>-31.422193919999927</v>
      </c>
      <c r="I22" s="131">
        <f>H56-I56</f>
        <v>-33.935969433600121</v>
      </c>
      <c r="J22" s="131">
        <f>I56-J56</f>
        <v>-36.650846988287867</v>
      </c>
      <c r="K22" s="131">
        <f>J56-K56</f>
        <v>-39.582914747351083</v>
      </c>
      <c r="L22" s="38"/>
      <c r="M22" s="73" t="s">
        <v>2</v>
      </c>
      <c r="N22" s="82">
        <f>(N20*N6)+(N15*N7)</f>
        <v>0.11350748682398361</v>
      </c>
      <c r="P22" s="28" t="s">
        <v>54</v>
      </c>
      <c r="Q22" s="119">
        <f>Q12</f>
        <v>5539.9111192209475</v>
      </c>
      <c r="S22" s="240"/>
      <c r="T22" s="35"/>
      <c r="U22" s="40"/>
      <c r="V22" s="40"/>
      <c r="W22" s="40"/>
      <c r="X22" s="40"/>
      <c r="Y22" s="40"/>
    </row>
    <row r="23" spans="1:25" s="28" customFormat="1">
      <c r="A23" s="180"/>
      <c r="B23" s="160"/>
      <c r="C23" s="41"/>
      <c r="D23" s="41"/>
      <c r="E23" s="53"/>
      <c r="F23" s="43"/>
      <c r="G23" s="160"/>
      <c r="H23" s="41"/>
      <c r="I23" s="41"/>
      <c r="J23" s="41"/>
      <c r="K23" s="53"/>
      <c r="L23" s="37"/>
      <c r="M23" s="73"/>
      <c r="N23" s="77"/>
      <c r="P23" s="28" t="s">
        <v>57</v>
      </c>
      <c r="Q23" s="119">
        <f>G4</f>
        <v>5035.6080000000011</v>
      </c>
      <c r="S23" s="240"/>
      <c r="T23" s="35"/>
      <c r="U23" s="40"/>
      <c r="V23" s="40"/>
      <c r="W23" s="137"/>
      <c r="X23" s="40"/>
      <c r="Y23" s="40"/>
    </row>
    <row r="24" spans="1:25" s="28" customFormat="1">
      <c r="A24" s="185" t="s">
        <v>41</v>
      </c>
      <c r="B24" s="161"/>
      <c r="C24" s="87">
        <f>C10+C17+C19+C22</f>
        <v>159.34896245790833</v>
      </c>
      <c r="D24" s="87">
        <f>D10+D17+D19+D22</f>
        <v>309.03448923889113</v>
      </c>
      <c r="E24" s="95">
        <f>E10+E17+E19+E22</f>
        <v>280.94364822026256</v>
      </c>
      <c r="F24" s="152"/>
      <c r="G24" s="161">
        <f>G10+G17+G19+G22</f>
        <v>416.98751262677456</v>
      </c>
      <c r="H24" s="87">
        <f>H10+H17+H19+H22</f>
        <v>417.25047888000006</v>
      </c>
      <c r="I24" s="87">
        <f>I10+I17+I19+I22</f>
        <v>450.63051719039993</v>
      </c>
      <c r="J24" s="87">
        <f>J10+J17+J19+J22</f>
        <v>486.6809585656323</v>
      </c>
      <c r="K24" s="95">
        <f>K10+K17+K19+K22</f>
        <v>525.61543525088268</v>
      </c>
      <c r="L24" s="37"/>
      <c r="M24" s="83" t="s">
        <v>99</v>
      </c>
      <c r="N24" s="83"/>
      <c r="P24" s="121" t="s">
        <v>55</v>
      </c>
      <c r="Q24" s="195">
        <f>G10</f>
        <v>720.09194400000013</v>
      </c>
      <c r="S24" s="240"/>
      <c r="T24" s="35"/>
      <c r="U24" s="40"/>
      <c r="V24" s="40"/>
      <c r="W24" s="40"/>
      <c r="X24" s="40"/>
      <c r="Y24" s="40"/>
    </row>
    <row r="25" spans="1:25" s="28" customFormat="1">
      <c r="A25" s="180"/>
      <c r="B25" s="146"/>
      <c r="C25" s="30"/>
      <c r="D25" s="30"/>
      <c r="E25" s="49"/>
      <c r="F25" s="43"/>
      <c r="G25" s="43"/>
      <c r="H25" s="49"/>
      <c r="I25" s="43"/>
      <c r="J25" s="43"/>
      <c r="K25" s="49"/>
      <c r="L25" s="37"/>
      <c r="M25" s="83" t="s">
        <v>68</v>
      </c>
      <c r="N25" s="77"/>
      <c r="P25" s="130" t="s">
        <v>58</v>
      </c>
      <c r="Q25" s="120">
        <f>Q22/Q23</f>
        <v>1.1001474140205008</v>
      </c>
      <c r="S25" s="240"/>
      <c r="T25" s="35"/>
      <c r="U25" s="40"/>
      <c r="V25" s="40"/>
      <c r="W25" s="40"/>
      <c r="X25" s="40"/>
      <c r="Y25" s="40"/>
    </row>
    <row r="26" spans="1:25" s="28" customFormat="1">
      <c r="A26" s="180" t="s">
        <v>2</v>
      </c>
      <c r="B26" s="173">
        <f>N22</f>
        <v>0.11350748682398361</v>
      </c>
      <c r="C26" s="30"/>
      <c r="D26" s="30"/>
      <c r="E26" s="49"/>
      <c r="F26" s="43"/>
      <c r="G26" s="146"/>
      <c r="H26" s="49"/>
      <c r="I26" s="43"/>
      <c r="J26" s="43"/>
      <c r="K26" s="49"/>
      <c r="L26" s="39"/>
      <c r="M26" s="83" t="s">
        <v>70</v>
      </c>
      <c r="N26" s="9"/>
      <c r="P26" s="130" t="s">
        <v>53</v>
      </c>
      <c r="Q26" s="120">
        <f>Q22/Q24</f>
        <v>7.6933385595839221</v>
      </c>
    </row>
    <row r="27" spans="1:25" s="28" customFormat="1">
      <c r="A27" s="180" t="s">
        <v>25</v>
      </c>
      <c r="B27" s="146"/>
      <c r="C27" s="30"/>
      <c r="D27" s="30"/>
      <c r="E27" s="49"/>
      <c r="F27" s="43"/>
      <c r="G27" s="162">
        <v>0.5</v>
      </c>
      <c r="H27" s="60">
        <f>G27+1</f>
        <v>1.5</v>
      </c>
      <c r="I27" s="66">
        <f>H27+1</f>
        <v>2.5</v>
      </c>
      <c r="J27" s="66">
        <f>I27+1</f>
        <v>3.5</v>
      </c>
      <c r="K27" s="60">
        <f>J27+1</f>
        <v>4.5</v>
      </c>
      <c r="L27" s="37"/>
      <c r="M27" s="83" t="s">
        <v>98</v>
      </c>
      <c r="N27" s="9"/>
    </row>
    <row r="28" spans="1:25" s="28" customFormat="1" ht="22.5">
      <c r="A28" s="180" t="s">
        <v>26</v>
      </c>
      <c r="B28" s="146"/>
      <c r="C28" s="30"/>
      <c r="D28" s="30"/>
      <c r="E28" s="49"/>
      <c r="F28" s="43"/>
      <c r="G28" s="163">
        <f>1/((1+$B$26)^G27)</f>
        <v>0.94766191916240694</v>
      </c>
      <c r="H28" s="86">
        <f>1/((1+$B$26)^H27)</f>
        <v>0.85106021322352143</v>
      </c>
      <c r="I28" s="86">
        <f>1/((1+$B$26)^I27)</f>
        <v>0.76430578446398156</v>
      </c>
      <c r="J28" s="86">
        <f>1/((1+$B$26)^J27)</f>
        <v>0.6863948321029999</v>
      </c>
      <c r="K28" s="164">
        <f>1/((1+$B$26)^K27)</f>
        <v>0.61642587968651974</v>
      </c>
      <c r="L28" s="37"/>
      <c r="M28" s="242" t="s">
        <v>71</v>
      </c>
    </row>
    <row r="29" spans="1:25" s="28" customFormat="1">
      <c r="A29" s="186" t="s">
        <v>15</v>
      </c>
      <c r="B29" s="174"/>
      <c r="C29" s="175"/>
      <c r="D29" s="175"/>
      <c r="E29" s="176"/>
      <c r="F29" s="153"/>
      <c r="G29" s="165">
        <f>G28*G24</f>
        <v>395.16318648264757</v>
      </c>
      <c r="H29" s="166">
        <f>H28*H24</f>
        <v>355.10528152322928</v>
      </c>
      <c r="I29" s="166">
        <f>I28*I24</f>
        <v>344.41951094461837</v>
      </c>
      <c r="J29" s="166">
        <f>J28*J24</f>
        <v>334.05529484238423</v>
      </c>
      <c r="K29" s="167">
        <f>K28*K24</f>
        <v>324.00295705133834</v>
      </c>
      <c r="L29" s="37"/>
      <c r="M29" s="83"/>
    </row>
    <row r="30" spans="1:25" s="28" customFormat="1">
      <c r="A30" s="25"/>
      <c r="B30" s="30"/>
      <c r="C30" s="30"/>
      <c r="D30" s="30"/>
      <c r="E30" s="30"/>
      <c r="F30" s="30"/>
      <c r="G30" s="32"/>
      <c r="H30" s="32"/>
      <c r="I30" s="32"/>
      <c r="J30" s="32"/>
      <c r="K30" s="32"/>
      <c r="L30" s="37"/>
    </row>
    <row r="31" spans="1:25" s="28" customFormat="1">
      <c r="A31" s="90" t="s">
        <v>27</v>
      </c>
      <c r="B31" s="91"/>
      <c r="C31" s="30"/>
      <c r="D31" s="30"/>
      <c r="E31" s="30"/>
      <c r="F31" s="30"/>
      <c r="G31" s="32"/>
      <c r="H31" s="32"/>
      <c r="I31" s="32"/>
      <c r="J31" s="32"/>
      <c r="K31" s="32"/>
      <c r="L31" s="37"/>
    </row>
    <row r="32" spans="1:25" s="28" customFormat="1">
      <c r="A32" s="25" t="s">
        <v>31</v>
      </c>
      <c r="B32" s="30">
        <f>K24</f>
        <v>525.61543525088268</v>
      </c>
      <c r="C32" s="30"/>
      <c r="D32" s="30"/>
      <c r="E32" s="30"/>
      <c r="F32" s="30"/>
      <c r="G32" s="32"/>
      <c r="H32" s="32"/>
      <c r="I32" s="32"/>
      <c r="J32" s="32"/>
      <c r="K32" s="32"/>
      <c r="L32" s="37"/>
    </row>
    <row r="33" spans="1:14" s="28" customFormat="1">
      <c r="A33" s="8" t="s">
        <v>29</v>
      </c>
      <c r="B33" s="33">
        <v>0.03</v>
      </c>
      <c r="C33" s="30"/>
      <c r="D33" s="30"/>
      <c r="E33" s="30"/>
      <c r="F33" s="30"/>
      <c r="G33" s="32"/>
      <c r="H33" s="32"/>
      <c r="I33" s="32"/>
      <c r="J33" s="32"/>
      <c r="K33" s="32"/>
      <c r="L33" s="37"/>
    </row>
    <row r="34" spans="1:14" s="28" customFormat="1">
      <c r="A34" s="25" t="s">
        <v>28</v>
      </c>
      <c r="B34" s="30">
        <f>K10</f>
        <v>979.67713999693854</v>
      </c>
      <c r="C34" s="30"/>
      <c r="D34" s="30"/>
      <c r="E34" s="30"/>
      <c r="F34" s="30"/>
      <c r="G34" s="32"/>
      <c r="H34" s="32"/>
      <c r="I34" s="32"/>
      <c r="J34" s="32"/>
      <c r="K34" s="32"/>
      <c r="L34" s="37"/>
      <c r="M34" s="221"/>
    </row>
    <row r="35" spans="1:14" s="28" customFormat="1">
      <c r="A35" s="25" t="s">
        <v>27</v>
      </c>
      <c r="B35" s="30">
        <f>B32*(1+B33)/(B26-B33)</f>
        <v>6483.0582130861349</v>
      </c>
      <c r="C35" s="30"/>
      <c r="D35" s="30"/>
      <c r="E35" s="30"/>
      <c r="F35" s="30"/>
      <c r="G35" s="32"/>
      <c r="H35" s="32"/>
      <c r="I35" s="32"/>
      <c r="J35" s="32"/>
      <c r="K35" s="32"/>
      <c r="L35" s="37"/>
    </row>
    <row r="36" spans="1:14" s="28" customFormat="1">
      <c r="A36" s="88" t="s">
        <v>30</v>
      </c>
      <c r="B36" s="89">
        <f>(B35*(1+B26)^0.5)/B34</f>
        <v>6.9830237275909139</v>
      </c>
      <c r="C36" s="3"/>
      <c r="D36" s="3"/>
      <c r="E36" s="3"/>
      <c r="F36" s="3"/>
      <c r="G36" s="2"/>
      <c r="H36" s="2"/>
      <c r="I36" s="2"/>
      <c r="J36" s="2"/>
      <c r="K36" s="2"/>
      <c r="L36" s="37"/>
    </row>
    <row r="37" spans="1:14" s="28" customFormat="1">
      <c r="A37" s="25" t="s">
        <v>25</v>
      </c>
      <c r="B37" s="34">
        <f>K27+0.5</f>
        <v>5</v>
      </c>
      <c r="C37" s="3"/>
      <c r="D37" s="3"/>
      <c r="E37" s="3"/>
      <c r="F37" s="3"/>
      <c r="G37" s="2"/>
      <c r="H37" s="2"/>
      <c r="I37" s="2"/>
      <c r="J37" s="2"/>
      <c r="K37" s="2"/>
      <c r="L37" s="37"/>
    </row>
    <row r="38" spans="1:14" s="28" customFormat="1">
      <c r="A38" s="25" t="s">
        <v>26</v>
      </c>
      <c r="B38" s="34">
        <f>1/((1+$B$26)^B37)</f>
        <v>0.58416333216510219</v>
      </c>
      <c r="C38" s="3"/>
      <c r="D38" s="3"/>
      <c r="E38" s="3"/>
      <c r="F38" s="3"/>
      <c r="G38" s="2"/>
      <c r="H38" s="2"/>
      <c r="I38" s="2"/>
      <c r="J38" s="2"/>
      <c r="K38" s="2"/>
      <c r="L38" s="37"/>
    </row>
    <row r="39" spans="1:14" s="28" customFormat="1">
      <c r="A39" s="92" t="s">
        <v>32</v>
      </c>
      <c r="B39" s="87">
        <f>B35*B38</f>
        <v>3787.1648883767298</v>
      </c>
      <c r="C39" s="3"/>
      <c r="D39" s="3"/>
      <c r="E39" s="3"/>
      <c r="F39" s="3"/>
      <c r="G39" s="2"/>
      <c r="H39" s="2"/>
      <c r="I39" s="2"/>
      <c r="J39" s="2"/>
      <c r="K39" s="2"/>
      <c r="L39" s="37"/>
    </row>
    <row r="40" spans="1:14" s="28" customFormat="1">
      <c r="A40" s="42" t="s">
        <v>50</v>
      </c>
      <c r="B40" s="4">
        <f>B39/Q12</f>
        <v>0.68361473801213291</v>
      </c>
      <c r="C40" s="3"/>
      <c r="D40" s="3"/>
      <c r="E40" s="3"/>
      <c r="F40" s="3"/>
      <c r="G40" s="2"/>
      <c r="H40" s="2"/>
      <c r="I40" s="2"/>
      <c r="J40" s="2"/>
      <c r="K40" s="2"/>
      <c r="L40" s="37"/>
    </row>
    <row r="41" spans="1:14" s="28" customFormat="1">
      <c r="A41" s="24"/>
      <c r="B41" s="4"/>
      <c r="C41" s="3"/>
      <c r="D41" s="3"/>
      <c r="E41" s="3"/>
      <c r="F41" s="3"/>
      <c r="G41" s="2"/>
      <c r="H41" s="2"/>
      <c r="I41" s="2"/>
      <c r="J41" s="2"/>
      <c r="K41" s="2"/>
      <c r="L41" s="37"/>
    </row>
    <row r="42" spans="1:14" s="28" customFormat="1">
      <c r="A42" s="109" t="s">
        <v>33</v>
      </c>
      <c r="B42" s="227" t="s">
        <v>11</v>
      </c>
      <c r="C42" s="227"/>
      <c r="D42" s="227"/>
      <c r="E42" s="227"/>
      <c r="F42" s="26"/>
      <c r="G42" s="225" t="s">
        <v>18</v>
      </c>
      <c r="H42" s="225"/>
      <c r="I42" s="225"/>
      <c r="J42" s="225"/>
      <c r="K42" s="225"/>
      <c r="L42" s="37"/>
    </row>
    <row r="43" spans="1:14" s="28" customFormat="1">
      <c r="A43" s="110" t="s">
        <v>34</v>
      </c>
      <c r="B43" s="138">
        <f>B3</f>
        <v>2006</v>
      </c>
      <c r="C43" s="67">
        <f>C3</f>
        <v>2007</v>
      </c>
      <c r="D43" s="67">
        <f>D3</f>
        <v>2008</v>
      </c>
      <c r="E43" s="139">
        <f>E3</f>
        <v>2009</v>
      </c>
      <c r="F43" s="140"/>
      <c r="G43" s="67">
        <f>G3</f>
        <v>2010</v>
      </c>
      <c r="H43" s="67">
        <f>H3</f>
        <v>2011</v>
      </c>
      <c r="I43" s="67">
        <f>I3</f>
        <v>2012</v>
      </c>
      <c r="J43" s="67">
        <f>J3</f>
        <v>2013</v>
      </c>
      <c r="K43" s="67">
        <f>K3</f>
        <v>2014</v>
      </c>
      <c r="L43" s="37"/>
    </row>
    <row r="44" spans="1:14" s="28" customFormat="1">
      <c r="A44" s="18" t="s">
        <v>12</v>
      </c>
      <c r="B44" s="3">
        <v>10.3</v>
      </c>
      <c r="C44" s="3">
        <v>13.6</v>
      </c>
      <c r="D44" s="3">
        <v>17</v>
      </c>
      <c r="E44" s="3">
        <v>13.3</v>
      </c>
      <c r="F44" s="49"/>
      <c r="G44" s="49"/>
      <c r="H44" s="49"/>
      <c r="I44" s="43"/>
      <c r="J44" s="43"/>
      <c r="K44" s="30"/>
      <c r="L44" s="37"/>
    </row>
    <row r="45" spans="1:14" s="28" customFormat="1">
      <c r="A45" s="18" t="s">
        <v>13</v>
      </c>
      <c r="B45" s="3">
        <v>542.9</v>
      </c>
      <c r="C45" s="3">
        <v>749</v>
      </c>
      <c r="D45" s="3">
        <v>826.7</v>
      </c>
      <c r="E45" s="3">
        <v>952.6</v>
      </c>
      <c r="F45" s="49"/>
      <c r="G45" s="49"/>
      <c r="H45" s="49"/>
      <c r="I45" s="43"/>
      <c r="J45" s="43"/>
      <c r="K45" s="30"/>
      <c r="L45" s="37"/>
    </row>
    <row r="46" spans="1:14" s="28" customFormat="1">
      <c r="A46" s="18" t="s">
        <v>14</v>
      </c>
      <c r="B46" s="3">
        <v>109.9</v>
      </c>
      <c r="C46" s="3">
        <v>41.7</v>
      </c>
      <c r="D46" s="3">
        <v>62.6</v>
      </c>
      <c r="E46" s="3">
        <v>93.8</v>
      </c>
      <c r="F46" s="49"/>
      <c r="G46" s="49"/>
      <c r="H46" s="49"/>
      <c r="I46" s="43"/>
      <c r="J46" s="43"/>
      <c r="K46" s="30"/>
      <c r="L46" s="37"/>
    </row>
    <row r="47" spans="1:14" s="28" customFormat="1">
      <c r="A47" s="5" t="s">
        <v>38</v>
      </c>
      <c r="B47" s="6">
        <f>SUM(B44:B46)</f>
        <v>663.09999999999991</v>
      </c>
      <c r="C47" s="6">
        <f>SUM(C44:C46)</f>
        <v>804.30000000000007</v>
      </c>
      <c r="D47" s="6">
        <f>SUM(D44:D46)</f>
        <v>906.30000000000007</v>
      </c>
      <c r="E47" s="6">
        <f>SUM(E44:E46)</f>
        <v>1059.7</v>
      </c>
      <c r="F47" s="49"/>
      <c r="G47" s="52">
        <f>G48*G4</f>
        <v>1127.9761920000003</v>
      </c>
      <c r="H47" s="52">
        <f>H48*H4</f>
        <v>1218.2142873600003</v>
      </c>
      <c r="I47" s="52">
        <f>I48*I4</f>
        <v>1315.6714303488004</v>
      </c>
      <c r="J47" s="52">
        <f>J48*J4</f>
        <v>1420.9251447767044</v>
      </c>
      <c r="K47" s="52">
        <f>K48*K4</f>
        <v>1534.5991563588409</v>
      </c>
      <c r="L47" s="37"/>
      <c r="N47" s="76"/>
    </row>
    <row r="48" spans="1:14" s="28" customFormat="1">
      <c r="A48" s="42" t="s">
        <v>9</v>
      </c>
      <c r="B48" s="102">
        <f>B47/B4</f>
        <v>0.22437654383649711</v>
      </c>
      <c r="C48" s="102">
        <f>C47/C4</f>
        <v>0.22541408592808501</v>
      </c>
      <c r="D48" s="102">
        <f>D47/D4</f>
        <v>0.22092484703702803</v>
      </c>
      <c r="E48" s="102">
        <f>E47/E4</f>
        <v>0.22727662677476085</v>
      </c>
      <c r="F48" s="59"/>
      <c r="G48" s="104">
        <v>0.224</v>
      </c>
      <c r="H48" s="104">
        <f>G48</f>
        <v>0.224</v>
      </c>
      <c r="I48" s="104">
        <f t="shared" ref="I48:K48" si="10">H48</f>
        <v>0.224</v>
      </c>
      <c r="J48" s="104">
        <f t="shared" si="10"/>
        <v>0.224</v>
      </c>
      <c r="K48" s="104">
        <f t="shared" si="10"/>
        <v>0.224</v>
      </c>
      <c r="L48" s="37"/>
      <c r="N48" s="76"/>
    </row>
    <row r="49" spans="1:25" s="28" customFormat="1">
      <c r="A49" s="5"/>
      <c r="B49" s="3"/>
      <c r="C49" s="3"/>
      <c r="D49" s="3"/>
      <c r="E49" s="3"/>
      <c r="F49" s="49"/>
      <c r="G49" s="49"/>
      <c r="H49" s="49"/>
      <c r="I49" s="43"/>
      <c r="J49" s="43"/>
      <c r="K49" s="30"/>
      <c r="L49" s="37"/>
      <c r="N49" s="76"/>
    </row>
    <row r="50" spans="1:25" s="28" customFormat="1">
      <c r="A50" s="18" t="s">
        <v>35</v>
      </c>
      <c r="B50" s="3"/>
      <c r="C50" s="3"/>
      <c r="D50" s="3"/>
      <c r="E50" s="3"/>
      <c r="F50" s="49"/>
      <c r="G50" s="49"/>
      <c r="H50" s="49"/>
      <c r="I50" s="43"/>
      <c r="J50" s="43"/>
      <c r="K50" s="30"/>
      <c r="L50" s="85"/>
      <c r="N50" s="76"/>
    </row>
    <row r="51" spans="1:25" s="28" customFormat="1">
      <c r="A51" s="18" t="s">
        <v>36</v>
      </c>
      <c r="B51" s="3"/>
      <c r="C51" s="3"/>
      <c r="D51" s="3"/>
      <c r="E51" s="3"/>
      <c r="F51" s="49"/>
      <c r="G51" s="101"/>
      <c r="H51" s="101"/>
      <c r="I51" s="101"/>
      <c r="J51" s="101"/>
      <c r="K51" s="101"/>
      <c r="L51" s="85"/>
    </row>
    <row r="52" spans="1:25" s="28" customFormat="1">
      <c r="A52" s="18" t="s">
        <v>37</v>
      </c>
      <c r="B52" s="3"/>
      <c r="C52" s="3"/>
      <c r="D52" s="3"/>
      <c r="E52" s="3"/>
      <c r="F52" s="49"/>
      <c r="G52" s="49"/>
      <c r="H52" s="49"/>
      <c r="I52" s="43"/>
      <c r="J52" s="43"/>
      <c r="K52" s="30"/>
      <c r="L52" s="37"/>
    </row>
    <row r="53" spans="1:25" s="28" customFormat="1">
      <c r="A53" s="31" t="s">
        <v>39</v>
      </c>
      <c r="B53" s="94">
        <v>-508.8</v>
      </c>
      <c r="C53" s="94">
        <v>-504.8</v>
      </c>
      <c r="D53" s="94">
        <v>-529.70000000000005</v>
      </c>
      <c r="E53" s="94">
        <v>-665.6</v>
      </c>
      <c r="F53" s="49"/>
      <c r="G53" s="52">
        <f>-G54*G4</f>
        <v>-735.19876800000009</v>
      </c>
      <c r="H53" s="52">
        <f>-H54*H4</f>
        <v>-794.01466944000015</v>
      </c>
      <c r="I53" s="52">
        <f>-I54*I4</f>
        <v>-857.53584299520014</v>
      </c>
      <c r="J53" s="52">
        <f>-J54*J4</f>
        <v>-926.13871043481629</v>
      </c>
      <c r="K53" s="52">
        <f>-K54*K4</f>
        <v>-1000.2298072696017</v>
      </c>
      <c r="L53" s="37"/>
    </row>
    <row r="54" spans="1:25" s="28" customFormat="1">
      <c r="A54" s="42" t="s">
        <v>9</v>
      </c>
      <c r="B54" s="102">
        <f>-B53/B4</f>
        <v>0.17216526240990762</v>
      </c>
      <c r="C54" s="102">
        <f>-C53/C4</f>
        <v>0.1414758554973235</v>
      </c>
      <c r="D54" s="102">
        <f>-D53/D4</f>
        <v>0.1291226872729932</v>
      </c>
      <c r="E54" s="102">
        <f>-E53/E4</f>
        <v>0.14275297044567409</v>
      </c>
      <c r="F54" s="30"/>
      <c r="G54" s="103">
        <v>0.14599999999999999</v>
      </c>
      <c r="H54" s="103">
        <f>G54</f>
        <v>0.14599999999999999</v>
      </c>
      <c r="I54" s="103">
        <f t="shared" ref="I54:K54" si="11">H54</f>
        <v>0.14599999999999999</v>
      </c>
      <c r="J54" s="103">
        <f t="shared" si="11"/>
        <v>0.14599999999999999</v>
      </c>
      <c r="K54" s="103">
        <f t="shared" si="11"/>
        <v>0.14599999999999999</v>
      </c>
      <c r="L54" s="37"/>
    </row>
    <row r="55" spans="1:25" s="28" customFormat="1">
      <c r="A55" s="31"/>
      <c r="B55" s="93"/>
      <c r="C55" s="93"/>
      <c r="D55" s="93"/>
      <c r="E55" s="93"/>
      <c r="F55" s="30"/>
      <c r="G55" s="41"/>
      <c r="H55" s="41"/>
      <c r="I55" s="41"/>
      <c r="J55" s="41"/>
      <c r="K55" s="41"/>
      <c r="L55" s="37"/>
    </row>
    <row r="56" spans="1:25" s="28" customFormat="1">
      <c r="A56" s="31" t="s">
        <v>34</v>
      </c>
      <c r="B56" s="32">
        <f>SUM(B47:B53)</f>
        <v>154.52437654383635</v>
      </c>
      <c r="C56" s="32">
        <f t="shared" ref="C56:E56" si="12">SUM(C47:C53)</f>
        <v>299.72541408592809</v>
      </c>
      <c r="D56" s="32">
        <f t="shared" si="12"/>
        <v>376.82092484703708</v>
      </c>
      <c r="E56" s="32">
        <f t="shared" si="12"/>
        <v>394.32727662677473</v>
      </c>
      <c r="F56" s="30"/>
      <c r="G56" s="52">
        <f>G47+G53</f>
        <v>392.77742400000022</v>
      </c>
      <c r="H56" s="52">
        <f t="shared" ref="H56:K56" si="13">H47+H53</f>
        <v>424.19961792000015</v>
      </c>
      <c r="I56" s="52">
        <f t="shared" si="13"/>
        <v>458.13558735360027</v>
      </c>
      <c r="J56" s="52">
        <f t="shared" si="13"/>
        <v>494.78643434188814</v>
      </c>
      <c r="K56" s="52">
        <f t="shared" si="13"/>
        <v>534.36934908923922</v>
      </c>
      <c r="L56" s="37"/>
    </row>
    <row r="57" spans="1:25" s="28" customFormat="1">
      <c r="A57" s="42" t="s">
        <v>9</v>
      </c>
      <c r="B57" s="4">
        <f>B56/B4</f>
        <v>5.2287204867132391E-2</v>
      </c>
      <c r="C57" s="4">
        <f>C56/C4</f>
        <v>8.4001405253756364E-2</v>
      </c>
      <c r="D57" s="4">
        <f>D56/D4</f>
        <v>9.185601366234479E-2</v>
      </c>
      <c r="E57" s="4">
        <f>E56/E4</f>
        <v>8.4572400940843034E-2</v>
      </c>
      <c r="F57" s="49"/>
      <c r="G57" s="105">
        <f>G56/G4</f>
        <v>7.8000000000000028E-2</v>
      </c>
      <c r="H57" s="105">
        <f>H56/H4</f>
        <v>7.8000000000000014E-2</v>
      </c>
      <c r="I57" s="105">
        <f>I56/I4</f>
        <v>7.8000000000000028E-2</v>
      </c>
      <c r="J57" s="105">
        <f>J56/J4</f>
        <v>7.8E-2</v>
      </c>
      <c r="K57" s="105">
        <f>K56/K4</f>
        <v>7.8E-2</v>
      </c>
      <c r="L57" s="37"/>
    </row>
    <row r="58" spans="1:25" s="28" customFormat="1">
      <c r="A58" s="12"/>
      <c r="B58" s="12"/>
      <c r="C58" s="11"/>
      <c r="D58" s="10"/>
      <c r="E58" s="11"/>
      <c r="F58" s="11"/>
      <c r="G58" s="12"/>
      <c r="H58" s="12"/>
      <c r="I58" s="12"/>
      <c r="J58" s="12"/>
      <c r="K58" s="12"/>
      <c r="L58" s="37"/>
    </row>
    <row r="59" spans="1:25">
      <c r="A59" s="12"/>
      <c r="B59" s="12"/>
      <c r="C59" s="11"/>
      <c r="D59" s="10"/>
      <c r="E59" s="11"/>
      <c r="F59" s="11"/>
      <c r="G59" s="12"/>
      <c r="H59" s="12"/>
      <c r="I59" s="12"/>
      <c r="J59" s="12"/>
      <c r="K59" s="12"/>
      <c r="M59" s="28"/>
      <c r="N59" s="28"/>
      <c r="P59" s="28"/>
      <c r="Q59" s="28"/>
      <c r="S59" s="28"/>
      <c r="T59" s="28"/>
      <c r="U59" s="28"/>
      <c r="V59" s="28"/>
      <c r="W59" s="28"/>
      <c r="X59" s="28"/>
      <c r="Y59" s="28"/>
    </row>
    <row r="60" spans="1:25">
      <c r="C60" s="7"/>
      <c r="D60" s="7"/>
      <c r="E60" s="3"/>
      <c r="F60" s="3"/>
      <c r="G60" s="3"/>
      <c r="H60" s="3"/>
      <c r="I60" s="3"/>
      <c r="J60" s="3"/>
      <c r="K60" s="3"/>
      <c r="P60" s="28"/>
      <c r="Q60" s="28"/>
    </row>
    <row r="61" spans="1:25">
      <c r="C61" s="7"/>
      <c r="D61" s="7"/>
      <c r="E61" s="3"/>
      <c r="F61" s="3"/>
      <c r="G61" s="3"/>
      <c r="H61" s="3"/>
      <c r="I61" s="3"/>
      <c r="J61" s="3"/>
      <c r="K61" s="3"/>
      <c r="P61" s="28"/>
      <c r="Q61" s="28"/>
    </row>
    <row r="62" spans="1:25">
      <c r="C62" s="7"/>
      <c r="D62" s="7"/>
      <c r="E62" s="3"/>
      <c r="F62" s="3"/>
      <c r="G62" s="3"/>
      <c r="H62" s="3"/>
      <c r="I62" s="3"/>
      <c r="J62" s="3"/>
      <c r="K62" s="3"/>
      <c r="P62" s="28"/>
      <c r="Q62" s="28"/>
    </row>
    <row r="63" spans="1:25">
      <c r="C63" s="7"/>
      <c r="D63" s="7"/>
      <c r="E63" s="3"/>
      <c r="F63" s="3"/>
      <c r="G63" s="3"/>
      <c r="H63" s="3"/>
      <c r="I63" s="3"/>
      <c r="J63" s="3"/>
      <c r="K63" s="3"/>
      <c r="P63" s="28"/>
      <c r="Q63" s="28"/>
    </row>
    <row r="64" spans="1:25">
      <c r="C64" s="7"/>
      <c r="D64" s="7"/>
      <c r="E64" s="3"/>
      <c r="F64" s="3"/>
      <c r="G64" s="3"/>
      <c r="H64" s="3"/>
      <c r="I64" s="3"/>
      <c r="J64" s="3"/>
      <c r="K64" s="3"/>
      <c r="L64" s="3"/>
      <c r="P64" s="28"/>
      <c r="Q64" s="28"/>
    </row>
    <row r="65" spans="1:25">
      <c r="C65" s="7"/>
      <c r="D65" s="7"/>
      <c r="E65" s="3"/>
      <c r="F65" s="3"/>
      <c r="G65" s="3"/>
      <c r="H65" s="3"/>
      <c r="I65" s="3"/>
      <c r="J65" s="3"/>
      <c r="K65" s="3"/>
      <c r="L65" s="3"/>
      <c r="P65" s="28"/>
      <c r="Q65" s="28"/>
    </row>
    <row r="66" spans="1:25">
      <c r="C66" s="7"/>
      <c r="D66" s="7"/>
      <c r="E66" s="3"/>
      <c r="F66" s="3"/>
      <c r="G66" s="3"/>
      <c r="H66" s="3"/>
      <c r="I66" s="3"/>
      <c r="J66" s="3"/>
      <c r="K66" s="3"/>
      <c r="L66" s="3"/>
      <c r="P66" s="28"/>
      <c r="Q66" s="28"/>
    </row>
    <row r="67" spans="1:25">
      <c r="C67" s="7"/>
      <c r="D67" s="7"/>
      <c r="E67" s="3"/>
      <c r="F67" s="3"/>
      <c r="G67" s="3"/>
      <c r="H67" s="3"/>
      <c r="I67" s="3"/>
      <c r="J67" s="3"/>
      <c r="K67" s="3"/>
      <c r="L67" s="3"/>
      <c r="P67" s="28"/>
      <c r="Q67" s="28"/>
    </row>
    <row r="68" spans="1:25">
      <c r="C68" s="7"/>
      <c r="D68" s="7"/>
      <c r="E68" s="3"/>
      <c r="F68" s="3"/>
      <c r="G68" s="3"/>
      <c r="H68" s="3"/>
      <c r="I68" s="3"/>
      <c r="J68" s="3"/>
      <c r="K68" s="3"/>
      <c r="L68" s="3"/>
      <c r="P68" s="28"/>
      <c r="Q68" s="28"/>
    </row>
    <row r="69" spans="1:25">
      <c r="C69" s="7"/>
      <c r="D69" s="7"/>
      <c r="E69" s="3"/>
      <c r="F69" s="3"/>
      <c r="G69" s="3"/>
      <c r="H69" s="3"/>
      <c r="I69" s="3"/>
      <c r="J69" s="3"/>
      <c r="K69" s="3"/>
      <c r="L69" s="3"/>
    </row>
    <row r="70" spans="1:25">
      <c r="C70" s="7"/>
      <c r="D70" s="7"/>
      <c r="E70" s="3"/>
      <c r="F70" s="3"/>
      <c r="G70" s="3"/>
      <c r="H70" s="3"/>
      <c r="I70" s="3"/>
      <c r="J70" s="3"/>
      <c r="K70" s="3"/>
      <c r="L70" s="3"/>
    </row>
    <row r="71" spans="1:25">
      <c r="A71" s="14"/>
      <c r="B71" s="11"/>
      <c r="C71" s="11"/>
      <c r="D71" s="11"/>
      <c r="E71" s="11"/>
      <c r="F71" s="11"/>
      <c r="G71" s="12"/>
      <c r="H71" s="12"/>
      <c r="I71" s="12"/>
      <c r="J71" s="12"/>
      <c r="K71" s="12"/>
      <c r="L71" s="3"/>
    </row>
    <row r="72" spans="1:25">
      <c r="L72" s="3"/>
    </row>
    <row r="73" spans="1:25">
      <c r="L73" s="3"/>
    </row>
    <row r="74" spans="1:25">
      <c r="L74" s="3"/>
    </row>
    <row r="75" spans="1:25">
      <c r="L75" s="3"/>
    </row>
    <row r="76" spans="1:25">
      <c r="L76" s="3"/>
    </row>
    <row r="77" spans="1:25">
      <c r="L77" s="3"/>
    </row>
    <row r="79" spans="1:25">
      <c r="L79" s="3"/>
    </row>
    <row r="80" spans="1:25" s="12" customForma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M80" s="2"/>
      <c r="N80" s="2"/>
      <c r="P80" s="2"/>
      <c r="Q80" s="2"/>
      <c r="S80" s="2"/>
      <c r="T80" s="2"/>
      <c r="U80" s="2"/>
      <c r="V80" s="2"/>
      <c r="W80" s="2"/>
      <c r="X80" s="2"/>
      <c r="Y80" s="2"/>
    </row>
    <row r="81" spans="1:25" s="12" customForma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P81" s="2"/>
      <c r="Q81" s="2"/>
    </row>
    <row r="82" spans="1:25">
      <c r="L82" s="3"/>
      <c r="M82" s="12"/>
      <c r="N82" s="12"/>
      <c r="S82" s="12"/>
      <c r="T82" s="12"/>
      <c r="U82" s="12"/>
      <c r="V82" s="12"/>
      <c r="W82" s="12"/>
      <c r="X82" s="12"/>
      <c r="Y82" s="12"/>
    </row>
    <row r="83" spans="1:25">
      <c r="A83" s="5"/>
      <c r="B83" s="3"/>
      <c r="C83" s="3"/>
      <c r="D83" s="3"/>
      <c r="E83" s="3"/>
      <c r="L83" s="3"/>
    </row>
    <row r="84" spans="1:25">
      <c r="A84" s="5"/>
      <c r="B84" s="3"/>
      <c r="C84" s="3"/>
      <c r="D84" s="3"/>
      <c r="E84" s="3"/>
      <c r="L84" s="3"/>
    </row>
    <row r="85" spans="1:25">
      <c r="A85" s="23"/>
      <c r="B85" s="3"/>
      <c r="C85" s="3"/>
      <c r="D85" s="3"/>
      <c r="E85" s="3"/>
      <c r="F85" s="3"/>
      <c r="L85" s="3"/>
    </row>
    <row r="86" spans="1:25">
      <c r="A86" s="15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3"/>
    </row>
    <row r="87" spans="1:25">
      <c r="A87" s="1"/>
      <c r="B87" s="17"/>
      <c r="C87" s="17"/>
      <c r="D87" s="17"/>
      <c r="E87" s="17"/>
      <c r="F87" s="17"/>
      <c r="L87" s="3"/>
    </row>
    <row r="88" spans="1:25">
      <c r="A88" s="223"/>
      <c r="B88" s="19"/>
      <c r="C88" s="19"/>
      <c r="D88" s="19"/>
      <c r="E88" s="19"/>
      <c r="F88" s="19"/>
      <c r="L88" s="3"/>
    </row>
    <row r="89" spans="1:25">
      <c r="A89" s="223"/>
      <c r="B89" s="17"/>
      <c r="C89" s="17"/>
      <c r="D89" s="17"/>
      <c r="E89" s="17"/>
      <c r="F89" s="17"/>
      <c r="L89" s="3"/>
    </row>
    <row r="90" spans="1:25">
      <c r="A90" s="23"/>
      <c r="B90" s="3"/>
      <c r="C90" s="3"/>
      <c r="D90" s="3"/>
      <c r="E90" s="3"/>
      <c r="F90" s="3"/>
      <c r="L90" s="3"/>
      <c r="P90" s="12"/>
      <c r="Q90" s="12"/>
    </row>
    <row r="91" spans="1:25">
      <c r="A91" s="23"/>
      <c r="B91" s="3"/>
      <c r="C91" s="3"/>
      <c r="D91" s="3"/>
      <c r="E91" s="3"/>
      <c r="F91" s="3"/>
      <c r="L91" s="3"/>
      <c r="P91" s="12"/>
      <c r="Q91" s="12"/>
    </row>
    <row r="92" spans="1:25">
      <c r="A92" s="23"/>
      <c r="B92" s="20"/>
      <c r="C92" s="20"/>
      <c r="D92" s="20"/>
      <c r="E92" s="20"/>
      <c r="F92" s="20"/>
      <c r="L92" s="3"/>
    </row>
    <row r="93" spans="1:25" s="12" customFormat="1">
      <c r="A93" s="23"/>
      <c r="B93" s="3"/>
      <c r="C93" s="3"/>
      <c r="D93" s="3"/>
      <c r="E93" s="3"/>
      <c r="F93" s="3"/>
      <c r="G93" s="2"/>
      <c r="H93" s="2"/>
      <c r="I93" s="2"/>
      <c r="J93" s="2"/>
      <c r="K93" s="2"/>
      <c r="M93" s="2"/>
      <c r="N93" s="2"/>
      <c r="P93" s="2"/>
      <c r="Q93" s="2"/>
      <c r="S93" s="2"/>
      <c r="T93" s="2"/>
      <c r="U93" s="2"/>
      <c r="V93" s="2"/>
      <c r="W93" s="2"/>
      <c r="X93" s="2"/>
      <c r="Y93" s="2"/>
    </row>
    <row r="94" spans="1:25">
      <c r="A94" s="23"/>
      <c r="B94" s="3"/>
      <c r="C94" s="3"/>
      <c r="D94" s="3"/>
      <c r="E94" s="3"/>
      <c r="F94" s="3"/>
      <c r="M94" s="12"/>
      <c r="N94" s="12"/>
      <c r="S94" s="12"/>
      <c r="T94" s="12"/>
      <c r="U94" s="12"/>
      <c r="V94" s="12"/>
      <c r="W94" s="12"/>
      <c r="X94" s="12"/>
      <c r="Y94" s="12"/>
    </row>
    <row r="95" spans="1:25">
      <c r="A95" s="23"/>
      <c r="B95" s="3"/>
      <c r="C95" s="3"/>
      <c r="D95" s="3"/>
      <c r="E95" s="3"/>
      <c r="F95" s="3"/>
    </row>
    <row r="97" spans="1:17">
      <c r="A97" s="15"/>
      <c r="B97" s="21"/>
      <c r="C97" s="21"/>
      <c r="D97" s="21"/>
      <c r="E97" s="21"/>
      <c r="F97" s="21"/>
    </row>
    <row r="98" spans="1:17">
      <c r="A98" s="1"/>
      <c r="B98" s="17"/>
      <c r="C98" s="17"/>
      <c r="D98" s="17"/>
      <c r="E98" s="17"/>
      <c r="F98" s="17"/>
    </row>
    <row r="99" spans="1:17">
      <c r="A99" s="223"/>
      <c r="B99" s="19"/>
      <c r="C99" s="19"/>
      <c r="D99" s="19"/>
      <c r="E99" s="19"/>
      <c r="F99" s="19"/>
    </row>
    <row r="100" spans="1:17">
      <c r="A100" s="223"/>
      <c r="B100" s="17"/>
      <c r="C100" s="17"/>
      <c r="D100" s="17"/>
      <c r="E100" s="17"/>
      <c r="F100" s="17"/>
    </row>
    <row r="101" spans="1:17">
      <c r="A101" s="23"/>
      <c r="B101" s="3"/>
      <c r="C101" s="3"/>
      <c r="D101" s="3"/>
      <c r="E101" s="3"/>
      <c r="F101" s="3"/>
    </row>
    <row r="103" spans="1:17">
      <c r="A103" s="23"/>
      <c r="B103" s="3"/>
      <c r="C103" s="3"/>
      <c r="D103" s="3"/>
      <c r="E103" s="3"/>
      <c r="F103" s="3"/>
      <c r="P103" s="12"/>
      <c r="Q103" s="12"/>
    </row>
    <row r="104" spans="1:17">
      <c r="A104" s="23"/>
      <c r="B104" s="3"/>
      <c r="C104" s="3"/>
      <c r="D104" s="3"/>
      <c r="E104" s="3"/>
      <c r="F104" s="3"/>
    </row>
    <row r="105" spans="1:17">
      <c r="A105" s="23"/>
      <c r="B105" s="3"/>
      <c r="C105" s="3"/>
      <c r="D105" s="3"/>
      <c r="E105" s="3"/>
      <c r="F105" s="3"/>
    </row>
    <row r="106" spans="1:17">
      <c r="A106" s="23"/>
      <c r="B106" s="3"/>
      <c r="C106" s="3"/>
      <c r="D106" s="3"/>
      <c r="E106" s="3"/>
      <c r="F106" s="3"/>
    </row>
    <row r="107" spans="1:17">
      <c r="A107" s="23"/>
      <c r="B107" s="3"/>
      <c r="C107" s="3"/>
      <c r="D107" s="3"/>
      <c r="E107" s="3"/>
      <c r="F107" s="3"/>
    </row>
    <row r="108" spans="1:17">
      <c r="A108" s="23"/>
      <c r="B108" s="3"/>
      <c r="C108" s="3"/>
      <c r="D108" s="3"/>
      <c r="E108" s="3"/>
      <c r="F108" s="3"/>
      <c r="L108" s="16"/>
    </row>
    <row r="109" spans="1:17">
      <c r="A109" s="23"/>
      <c r="B109" s="3"/>
      <c r="C109" s="3"/>
      <c r="D109" s="3"/>
      <c r="E109" s="3"/>
      <c r="F109" s="3"/>
    </row>
    <row r="110" spans="1:17">
      <c r="A110" s="22"/>
      <c r="B110" s="19"/>
      <c r="C110" s="19"/>
      <c r="D110" s="19"/>
      <c r="E110" s="19"/>
      <c r="F110" s="19"/>
    </row>
    <row r="111" spans="1:17">
      <c r="A111" s="15"/>
      <c r="B111" s="21"/>
      <c r="C111" s="21"/>
      <c r="D111" s="21"/>
      <c r="E111" s="21"/>
      <c r="F111" s="21"/>
    </row>
    <row r="112" spans="1:17">
      <c r="A112" s="1"/>
      <c r="B112" s="17"/>
      <c r="C112" s="17"/>
      <c r="D112" s="17"/>
      <c r="E112" s="17"/>
      <c r="F112" s="17"/>
    </row>
    <row r="113" spans="1:6">
      <c r="A113" s="223"/>
      <c r="B113" s="19"/>
      <c r="C113" s="19"/>
      <c r="D113" s="19"/>
      <c r="E113" s="19"/>
      <c r="F113" s="19"/>
    </row>
    <row r="114" spans="1:6">
      <c r="A114" s="223"/>
      <c r="B114" s="17"/>
      <c r="C114" s="17"/>
      <c r="D114" s="17"/>
      <c r="E114" s="17"/>
      <c r="F114" s="17"/>
    </row>
    <row r="115" spans="1:6">
      <c r="A115" s="23"/>
      <c r="B115" s="19"/>
      <c r="C115" s="19"/>
      <c r="D115" s="19"/>
      <c r="E115" s="19"/>
      <c r="F115" s="19"/>
    </row>
    <row r="116" spans="1:6">
      <c r="A116" s="23"/>
      <c r="B116" s="19"/>
      <c r="C116" s="19"/>
      <c r="D116" s="19"/>
      <c r="E116" s="19"/>
      <c r="F116" s="19"/>
    </row>
    <row r="117" spans="1:6">
      <c r="A117" s="23"/>
      <c r="B117" s="19"/>
      <c r="C117" s="19"/>
      <c r="D117" s="19"/>
      <c r="E117" s="19"/>
      <c r="F117" s="19"/>
    </row>
    <row r="118" spans="1:6">
      <c r="A118" s="23"/>
      <c r="B118" s="19"/>
      <c r="C118" s="19"/>
      <c r="D118" s="19"/>
      <c r="E118" s="19"/>
      <c r="F118" s="19"/>
    </row>
    <row r="119" spans="1:6">
      <c r="A119" s="23"/>
      <c r="B119" s="19"/>
      <c r="C119" s="19"/>
      <c r="D119" s="19"/>
      <c r="E119" s="19"/>
      <c r="F119" s="19"/>
    </row>
    <row r="120" spans="1:6">
      <c r="A120" s="23"/>
      <c r="B120" s="19"/>
      <c r="C120" s="19"/>
      <c r="D120" s="19"/>
      <c r="E120" s="19"/>
      <c r="F120" s="19"/>
    </row>
    <row r="121" spans="1:6">
      <c r="A121" s="23"/>
      <c r="B121" s="19"/>
      <c r="C121" s="19"/>
      <c r="D121" s="19"/>
      <c r="E121" s="19"/>
      <c r="F121" s="19"/>
    </row>
    <row r="122" spans="1:6">
      <c r="A122" s="23"/>
      <c r="B122" s="19"/>
      <c r="C122" s="19"/>
      <c r="D122" s="19"/>
      <c r="E122" s="19"/>
      <c r="F122" s="19"/>
    </row>
    <row r="123" spans="1:6">
      <c r="A123" s="23"/>
      <c r="B123" s="19"/>
      <c r="C123" s="19"/>
      <c r="D123" s="19"/>
      <c r="E123" s="19"/>
      <c r="F123" s="19"/>
    </row>
    <row r="124" spans="1:6">
      <c r="A124" s="23"/>
      <c r="B124" s="19"/>
      <c r="C124" s="19"/>
      <c r="D124" s="19"/>
      <c r="E124" s="19"/>
      <c r="F124" s="19"/>
    </row>
    <row r="125" spans="1:6">
      <c r="A125" s="23"/>
      <c r="B125" s="19"/>
      <c r="C125" s="19"/>
      <c r="D125" s="19"/>
      <c r="E125" s="19"/>
      <c r="F125" s="19"/>
    </row>
    <row r="126" spans="1:6">
      <c r="A126" s="23"/>
      <c r="B126" s="19"/>
      <c r="C126" s="19"/>
      <c r="D126" s="19"/>
      <c r="E126" s="19"/>
      <c r="F126" s="19"/>
    </row>
    <row r="127" spans="1:6">
      <c r="A127" s="23"/>
      <c r="B127" s="19"/>
      <c r="C127" s="19"/>
      <c r="D127" s="19"/>
      <c r="E127" s="19"/>
      <c r="F127" s="19"/>
    </row>
    <row r="128" spans="1:6">
      <c r="A128" s="23"/>
      <c r="B128" s="19"/>
      <c r="C128" s="19"/>
      <c r="D128" s="19"/>
      <c r="E128" s="19"/>
      <c r="F128" s="19"/>
    </row>
    <row r="129" spans="1:6">
      <c r="A129" s="23"/>
      <c r="B129" s="19"/>
      <c r="C129" s="19"/>
      <c r="D129" s="19"/>
      <c r="E129" s="19"/>
      <c r="F129" s="19"/>
    </row>
    <row r="130" spans="1:6">
      <c r="A130" s="23"/>
      <c r="B130" s="19"/>
      <c r="C130" s="19"/>
      <c r="D130" s="19"/>
      <c r="E130" s="19"/>
      <c r="F130" s="19"/>
    </row>
  </sheetData>
  <mergeCells count="20">
    <mergeCell ref="M1:Q1"/>
    <mergeCell ref="L2:L3"/>
    <mergeCell ref="A88:A89"/>
    <mergeCell ref="A1:K1"/>
    <mergeCell ref="S5:S9"/>
    <mergeCell ref="S1:Y1"/>
    <mergeCell ref="U3:Y3"/>
    <mergeCell ref="U11:Y11"/>
    <mergeCell ref="S2:Y2"/>
    <mergeCell ref="S13:S17"/>
    <mergeCell ref="U19:Y19"/>
    <mergeCell ref="S21:S25"/>
    <mergeCell ref="B42:E42"/>
    <mergeCell ref="G42:K42"/>
    <mergeCell ref="A99:A100"/>
    <mergeCell ref="A113:A114"/>
    <mergeCell ref="G2:K2"/>
    <mergeCell ref="B2:E2"/>
    <mergeCell ref="P3:Q3"/>
    <mergeCell ref="M3:N3"/>
  </mergeCells>
  <pageMargins left="0.7" right="0.7" top="0.75" bottom="0.75" header="0.3" footer="0.3"/>
  <pageSetup paperSize="9" orientation="portrait" r:id="rId1"/>
  <ignoredErrors>
    <ignoredError sqref="F10 F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H18"/>
  <sheetViews>
    <sheetView showGridLines="0" workbookViewId="0">
      <selection activeCell="I36" sqref="I36"/>
    </sheetView>
  </sheetViews>
  <sheetFormatPr defaultRowHeight="12"/>
  <cols>
    <col min="1" max="1" width="11.5703125" style="205" bestFit="1" customWidth="1"/>
    <col min="2" max="2" width="11.7109375" style="205" bestFit="1" customWidth="1"/>
    <col min="3" max="4" width="14.28515625" style="205" bestFit="1" customWidth="1"/>
    <col min="5" max="5" width="10" style="205" bestFit="1" customWidth="1"/>
    <col min="6" max="6" width="11.85546875" style="205" bestFit="1" customWidth="1"/>
    <col min="7" max="16384" width="9.140625" style="205"/>
  </cols>
  <sheetData>
    <row r="1" spans="1:8">
      <c r="A1" s="241" t="s">
        <v>76</v>
      </c>
      <c r="B1" s="241"/>
      <c r="C1" s="241"/>
      <c r="D1" s="241"/>
      <c r="E1" s="241"/>
      <c r="F1" s="241"/>
      <c r="G1" s="241"/>
      <c r="H1" s="241"/>
    </row>
    <row r="2" spans="1:8" ht="28.5" customHeight="1">
      <c r="A2" s="206" t="s">
        <v>69</v>
      </c>
      <c r="B2" s="207" t="s">
        <v>84</v>
      </c>
      <c r="C2" s="207" t="s">
        <v>85</v>
      </c>
      <c r="D2" s="207" t="s">
        <v>86</v>
      </c>
      <c r="E2" s="207" t="s">
        <v>96</v>
      </c>
      <c r="F2" s="207" t="s">
        <v>97</v>
      </c>
      <c r="G2" s="207" t="s">
        <v>75</v>
      </c>
      <c r="H2" s="207" t="s">
        <v>87</v>
      </c>
    </row>
    <row r="3" spans="1:8">
      <c r="A3" s="205" t="s">
        <v>79</v>
      </c>
      <c r="B3" s="210">
        <v>1.23</v>
      </c>
      <c r="C3" s="210">
        <v>500</v>
      </c>
      <c r="D3" s="211">
        <v>1125</v>
      </c>
      <c r="E3" s="209">
        <f>C3/D3</f>
        <v>0.44444444444444442</v>
      </c>
      <c r="F3" s="209">
        <f>D3/(C3+D3)</f>
        <v>0.69230769230769229</v>
      </c>
      <c r="G3" s="208">
        <v>0.3</v>
      </c>
      <c r="H3" s="216">
        <f>B3/(1+(E3)*(1-G3))</f>
        <v>0.93813559322033901</v>
      </c>
    </row>
    <row r="4" spans="1:8">
      <c r="A4" s="205" t="s">
        <v>80</v>
      </c>
      <c r="B4" s="210">
        <v>1.31</v>
      </c>
      <c r="C4" s="210">
        <v>400</v>
      </c>
      <c r="D4" s="211">
        <v>868</v>
      </c>
      <c r="E4" s="209">
        <f t="shared" ref="E4:E7" si="0">C4/D4</f>
        <v>0.46082949308755761</v>
      </c>
      <c r="F4" s="209">
        <f t="shared" ref="F4:F7" si="1">D4/(C4+D4)</f>
        <v>0.68454258675078861</v>
      </c>
      <c r="G4" s="208">
        <v>0.3</v>
      </c>
      <c r="H4" s="216">
        <f>B4/(1+(E4)*(1-G4))</f>
        <v>0.99048780487804888</v>
      </c>
    </row>
    <row r="5" spans="1:8">
      <c r="A5" s="205" t="s">
        <v>81</v>
      </c>
      <c r="B5" s="210">
        <v>1.1499999999999999</v>
      </c>
      <c r="C5" s="210">
        <v>450</v>
      </c>
      <c r="D5" s="211">
        <v>787.5</v>
      </c>
      <c r="E5" s="209">
        <f t="shared" si="0"/>
        <v>0.5714285714285714</v>
      </c>
      <c r="F5" s="209">
        <f t="shared" si="1"/>
        <v>0.63636363636363635</v>
      </c>
      <c r="G5" s="208">
        <v>0.3</v>
      </c>
      <c r="H5" s="216">
        <f>B5/(1+(E5)*(1-G5))</f>
        <v>0.8214285714285714</v>
      </c>
    </row>
    <row r="6" spans="1:8">
      <c r="A6" s="205" t="s">
        <v>82</v>
      </c>
      <c r="B6" s="210">
        <v>1.1200000000000001</v>
      </c>
      <c r="C6" s="210">
        <v>375</v>
      </c>
      <c r="D6" s="211">
        <v>1125</v>
      </c>
      <c r="E6" s="209">
        <f t="shared" si="0"/>
        <v>0.33333333333333331</v>
      </c>
      <c r="F6" s="209">
        <f t="shared" si="1"/>
        <v>0.75</v>
      </c>
      <c r="G6" s="208">
        <v>0.3</v>
      </c>
      <c r="H6" s="216">
        <f>B6/(1+(E6)*(1-G6))</f>
        <v>0.90810810810810816</v>
      </c>
    </row>
    <row r="7" spans="1:8">
      <c r="A7" s="205" t="s">
        <v>83</v>
      </c>
      <c r="B7" s="210">
        <v>1.25</v>
      </c>
      <c r="C7" s="210">
        <v>250</v>
      </c>
      <c r="D7" s="211">
        <v>900</v>
      </c>
      <c r="E7" s="209">
        <f t="shared" si="0"/>
        <v>0.27777777777777779</v>
      </c>
      <c r="F7" s="209">
        <f t="shared" si="1"/>
        <v>0.78260869565217395</v>
      </c>
      <c r="G7" s="208">
        <v>0.3</v>
      </c>
      <c r="H7" s="216">
        <f>B7/(1+(E7)*(1-G7))</f>
        <v>1.0465116279069768</v>
      </c>
    </row>
    <row r="8" spans="1:8">
      <c r="A8" s="217"/>
      <c r="B8" s="217"/>
      <c r="C8" s="217"/>
      <c r="D8" s="217"/>
      <c r="E8" s="217"/>
      <c r="F8" s="217"/>
      <c r="G8" s="217"/>
      <c r="H8" s="217"/>
    </row>
    <row r="9" spans="1:8">
      <c r="A9" s="212" t="s">
        <v>78</v>
      </c>
      <c r="B9" s="213">
        <f>MEDIAN(B3:B7)</f>
        <v>1.23</v>
      </c>
      <c r="C9" s="213"/>
      <c r="D9" s="213"/>
      <c r="E9" s="215">
        <f t="shared" ref="E9:H9" si="2">MEDIAN(E3:E7)</f>
        <v>0.44444444444444442</v>
      </c>
      <c r="F9" s="215">
        <f t="shared" ref="F9" si="3">MEDIAN(F3:F7)</f>
        <v>0.69230769230769229</v>
      </c>
      <c r="G9" s="214"/>
      <c r="H9" s="213">
        <f t="shared" si="2"/>
        <v>0.93813559322033901</v>
      </c>
    </row>
    <row r="10" spans="1:8">
      <c r="A10" s="212" t="s">
        <v>77</v>
      </c>
      <c r="B10" s="213">
        <f>AVERAGE(B3:B7)</f>
        <v>1.2120000000000002</v>
      </c>
      <c r="C10" s="213"/>
      <c r="D10" s="213"/>
      <c r="E10" s="215">
        <f t="shared" ref="E10:H10" si="4">AVERAGE(E3:E7)</f>
        <v>0.41756272401433686</v>
      </c>
      <c r="F10" s="215">
        <f t="shared" ref="F10" si="5">AVERAGE(F3:F7)</f>
        <v>0.70916452221485815</v>
      </c>
      <c r="G10" s="214"/>
      <c r="H10" s="213">
        <f t="shared" si="4"/>
        <v>0.94093434110840879</v>
      </c>
    </row>
    <row r="12" spans="1:8">
      <c r="A12" s="83" t="s">
        <v>88</v>
      </c>
    </row>
    <row r="13" spans="1:8">
      <c r="A13" s="83" t="s">
        <v>89</v>
      </c>
    </row>
    <row r="14" spans="1:8">
      <c r="A14" s="83" t="s">
        <v>90</v>
      </c>
    </row>
    <row r="15" spans="1:8">
      <c r="A15" s="83" t="s">
        <v>91</v>
      </c>
    </row>
    <row r="16" spans="1:8">
      <c r="A16" s="83"/>
    </row>
    <row r="17" spans="1:7" ht="36">
      <c r="A17" s="218" t="s">
        <v>92</v>
      </c>
      <c r="B17" s="218"/>
      <c r="C17" s="220" t="s">
        <v>93</v>
      </c>
      <c r="D17" s="220" t="s">
        <v>100</v>
      </c>
      <c r="E17" s="220" t="s">
        <v>94</v>
      </c>
      <c r="F17" s="220" t="s">
        <v>92</v>
      </c>
      <c r="G17" s="219"/>
    </row>
    <row r="18" spans="1:7">
      <c r="A18" s="205" t="s">
        <v>95</v>
      </c>
      <c r="C18" s="216">
        <f>H10</f>
        <v>0.94093434110840879</v>
      </c>
      <c r="D18" s="209">
        <f>E10</f>
        <v>0.41756272401433686</v>
      </c>
      <c r="E18" s="208">
        <v>0.3</v>
      </c>
      <c r="F18" s="222">
        <f>C18*(1+(D18)*(1-E18))</f>
        <v>1.2159637157227126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www.business-valuation.net</vt:lpstr>
      <vt:lpstr>Beta and capital structure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DCF Model template - www.business-valuation.net</dc:title>
  <dc:subject>DCF Model template</dc:subject>
  <dc:creator>www.business-valuation.net</dc:creator>
  <cp:keywords>DCF model, DCF template, DCF Valuation</cp:keywords>
  <dc:description>This is a free DCF model template where you can estimate the value of a business via a cash flow analysis</dc:description>
  <cp:lastModifiedBy>Erik Andersson</cp:lastModifiedBy>
  <dcterms:created xsi:type="dcterms:W3CDTF">2009-06-20T09:24:50Z</dcterms:created>
  <dcterms:modified xsi:type="dcterms:W3CDTF">2009-11-30T14:59:47Z</dcterms:modified>
  <cp:category>Finance &gt; Business</cp:category>
</cp:coreProperties>
</file>