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360" yWindow="300" windowWidth="20655" windowHeight="11700" activeTab="2"/>
  </bookViews>
  <sheets>
    <sheet name="Cover" sheetId="8" r:id="rId1"/>
    <sheet name="Input" sheetId="6" r:id="rId2"/>
    <sheet name="DCF" sheetId="1" r:id="rId3"/>
    <sheet name="WACC" sheetId="5" r:id="rId4"/>
    <sheet name="Beta and capital structure" sheetId="3" r:id="rId5"/>
  </sheets>
  <definedNames>
    <definedName name="EV">DCF!$D$47</definedName>
    <definedName name="WACC">WACC!$D$23</definedName>
  </definedNames>
  <calcPr calcId="152511" iterate="1" iterateCount="1000"/>
</workbook>
</file>

<file path=xl/calcChain.xml><?xml version="1.0" encoding="utf-8"?>
<calcChain xmlns="http://schemas.openxmlformats.org/spreadsheetml/2006/main">
  <c r="F23" i="3" l="1"/>
  <c r="D20" i="5"/>
  <c r="D21" i="5" s="1"/>
  <c r="I6" i="1"/>
  <c r="J6" i="1" s="1"/>
  <c r="K6" i="1" s="1"/>
  <c r="L6" i="1" s="1"/>
  <c r="N30" i="1"/>
  <c r="N28" i="1"/>
  <c r="N23" i="1"/>
  <c r="N13" i="1"/>
  <c r="N10" i="1"/>
  <c r="N8" i="1"/>
  <c r="D50" i="1"/>
  <c r="G15" i="1"/>
  <c r="F15" i="1"/>
  <c r="E15" i="1"/>
  <c r="D15" i="1"/>
  <c r="E17" i="1"/>
  <c r="E20" i="1" s="1"/>
  <c r="E26" i="1" s="1"/>
  <c r="G17" i="1"/>
  <c r="G20" i="1" s="1"/>
  <c r="G26" i="1" s="1"/>
  <c r="F17" i="1"/>
  <c r="F20" i="1" s="1"/>
  <c r="F26" i="1" s="1"/>
  <c r="G3" i="1"/>
  <c r="F3" i="1" s="1"/>
  <c r="H13" i="1"/>
  <c r="I14" i="1"/>
  <c r="J14" i="1" s="1"/>
  <c r="K14" i="1" s="1"/>
  <c r="L14" i="1" s="1"/>
  <c r="G11" i="1"/>
  <c r="F11" i="1"/>
  <c r="E11" i="1"/>
  <c r="D11" i="1"/>
  <c r="G14" i="1"/>
  <c r="F14" i="1"/>
  <c r="E14" i="1"/>
  <c r="G10" i="3"/>
  <c r="G9" i="3"/>
  <c r="G8" i="3"/>
  <c r="G7" i="3"/>
  <c r="G6" i="3"/>
  <c r="C13" i="3"/>
  <c r="C12" i="3"/>
  <c r="F10" i="3"/>
  <c r="I10" i="3" s="1"/>
  <c r="F9" i="3"/>
  <c r="I9" i="3" s="1"/>
  <c r="F8" i="3"/>
  <c r="I8" i="3" s="1"/>
  <c r="F7" i="3"/>
  <c r="I7" i="3" s="1"/>
  <c r="F6" i="3"/>
  <c r="G24" i="1"/>
  <c r="F24" i="1"/>
  <c r="E24" i="1"/>
  <c r="D24" i="1"/>
  <c r="H11" i="1" l="1"/>
  <c r="H24" i="1"/>
  <c r="I24" i="1" s="1"/>
  <c r="J24" i="1" s="1"/>
  <c r="K24" i="1" s="1"/>
  <c r="L24" i="1" s="1"/>
  <c r="H46" i="1"/>
  <c r="G13" i="3"/>
  <c r="D8" i="5" s="1"/>
  <c r="D7" i="5" s="1"/>
  <c r="I13" i="1"/>
  <c r="J13" i="1" s="1"/>
  <c r="K13" i="1" s="1"/>
  <c r="L13" i="1" s="1"/>
  <c r="O13" i="1" s="1"/>
  <c r="H3" i="1"/>
  <c r="I46" i="1" s="1"/>
  <c r="F18" i="1"/>
  <c r="G18" i="1"/>
  <c r="E3" i="1"/>
  <c r="D3" i="1" s="1"/>
  <c r="N3" i="1" s="1"/>
  <c r="G12" i="3"/>
  <c r="I6" i="3"/>
  <c r="F13" i="3"/>
  <c r="D9" i="5" s="1"/>
  <c r="F12" i="3"/>
  <c r="N5" i="1"/>
  <c r="G31" i="1"/>
  <c r="F31" i="1"/>
  <c r="E31" i="1"/>
  <c r="I41" i="1"/>
  <c r="G6" i="1"/>
  <c r="F6" i="1"/>
  <c r="E6" i="1"/>
  <c r="H5" i="1"/>
  <c r="H15" i="1" l="1"/>
  <c r="H31" i="1"/>
  <c r="I31" i="1" s="1"/>
  <c r="J31" i="1" s="1"/>
  <c r="K31" i="1" s="1"/>
  <c r="L31" i="1" s="1"/>
  <c r="J41" i="1"/>
  <c r="I3" i="1"/>
  <c r="E23" i="3"/>
  <c r="I13" i="3"/>
  <c r="D23" i="3" s="1"/>
  <c r="I12" i="3"/>
  <c r="G36" i="1"/>
  <c r="F36" i="1"/>
  <c r="H23" i="1"/>
  <c r="G34" i="1"/>
  <c r="H34" i="1" s="1"/>
  <c r="I34" i="1" s="1"/>
  <c r="J34" i="1" s="1"/>
  <c r="K34" i="1" s="1"/>
  <c r="L34" i="1" s="1"/>
  <c r="E34" i="1"/>
  <c r="F34" i="1"/>
  <c r="I5" i="1"/>
  <c r="J3" i="1" l="1"/>
  <c r="J46" i="1"/>
  <c r="H30" i="1"/>
  <c r="K41" i="1"/>
  <c r="H33" i="1"/>
  <c r="H36" i="1" s="1"/>
  <c r="I15" i="1"/>
  <c r="G23" i="3"/>
  <c r="D14" i="5" s="1"/>
  <c r="D16" i="5" s="1"/>
  <c r="D23" i="5" s="1"/>
  <c r="H40" i="1" s="1"/>
  <c r="I30" i="1"/>
  <c r="I23" i="1"/>
  <c r="J5" i="1"/>
  <c r="J15" i="1" s="1"/>
  <c r="K3" i="1" l="1"/>
  <c r="K46" i="1"/>
  <c r="J40" i="1"/>
  <c r="J42" i="1" s="1"/>
  <c r="K40" i="1"/>
  <c r="K42" i="1" s="1"/>
  <c r="L40" i="1"/>
  <c r="H42" i="1"/>
  <c r="I40" i="1"/>
  <c r="I42" i="1" s="1"/>
  <c r="L41" i="1"/>
  <c r="J30" i="1"/>
  <c r="J23" i="1"/>
  <c r="K5" i="1"/>
  <c r="K15" i="1" s="1"/>
  <c r="L3" i="1" l="1"/>
  <c r="O3" i="1" s="1"/>
  <c r="L46" i="1"/>
  <c r="D66" i="1"/>
  <c r="D67" i="1" s="1"/>
  <c r="L42" i="1"/>
  <c r="K30" i="1"/>
  <c r="K23" i="1"/>
  <c r="L5" i="1"/>
  <c r="L15" i="1" s="1"/>
  <c r="O5" i="1" l="1"/>
  <c r="L30" i="1"/>
  <c r="O30" i="1" s="1"/>
  <c r="L23" i="1"/>
  <c r="O23" i="1" s="1"/>
  <c r="D34" i="1" l="1"/>
  <c r="E36" i="1"/>
  <c r="E38" i="1" s="1"/>
  <c r="G21" i="1"/>
  <c r="F21" i="1"/>
  <c r="F38" i="1"/>
  <c r="E21" i="1"/>
  <c r="G38" i="1" l="1"/>
  <c r="I33" i="1" l="1"/>
  <c r="I36" i="1" s="1"/>
  <c r="J33" i="1"/>
  <c r="K33" i="1"/>
  <c r="L33" i="1"/>
  <c r="L36" i="1" l="1"/>
  <c r="J36" i="1"/>
  <c r="K36" i="1"/>
  <c r="I11" i="1"/>
  <c r="D17" i="1"/>
  <c r="N17" i="1" s="1"/>
  <c r="J11" i="1" l="1"/>
  <c r="K11" i="1" s="1"/>
  <c r="L11" i="1" s="1"/>
  <c r="L10" i="1" s="1"/>
  <c r="I10" i="1"/>
  <c r="I8" i="1" s="1"/>
  <c r="E18" i="1"/>
  <c r="H10" i="1"/>
  <c r="H8" i="1" s="1"/>
  <c r="D20" i="1"/>
  <c r="L8" i="1" l="1"/>
  <c r="O8" i="1" s="1"/>
  <c r="O10" i="1"/>
  <c r="K10" i="1"/>
  <c r="K8" i="1" s="1"/>
  <c r="K17" i="1" s="1"/>
  <c r="K20" i="1" s="1"/>
  <c r="K26" i="1" s="1"/>
  <c r="K28" i="1" s="1"/>
  <c r="N20" i="1"/>
  <c r="D26" i="1"/>
  <c r="N26" i="1" s="1"/>
  <c r="D21" i="1"/>
  <c r="H17" i="1"/>
  <c r="I17" i="1"/>
  <c r="I20" i="1" s="1"/>
  <c r="L17" i="1" l="1"/>
  <c r="L20" i="1" s="1"/>
  <c r="L26" i="1" s="1"/>
  <c r="L28" i="1" s="1"/>
  <c r="I21" i="1"/>
  <c r="I26" i="1"/>
  <c r="I28" i="1" s="1"/>
  <c r="I38" i="1" s="1"/>
  <c r="I43" i="1" s="1"/>
  <c r="I18" i="1"/>
  <c r="H18" i="1"/>
  <c r="K21" i="1"/>
  <c r="H20" i="1"/>
  <c r="H21" i="1" s="1"/>
  <c r="K38" i="1"/>
  <c r="K43" i="1" s="1"/>
  <c r="O17" i="1" l="1"/>
  <c r="L18" i="1"/>
  <c r="L38" i="1"/>
  <c r="L43" i="1" s="1"/>
  <c r="D62" i="1"/>
  <c r="L21" i="1"/>
  <c r="O20" i="1"/>
  <c r="H26" i="1"/>
  <c r="D59" i="1" l="1"/>
  <c r="D63" i="1" s="1"/>
  <c r="D69" i="1" s="1"/>
  <c r="H28" i="1"/>
  <c r="O26" i="1"/>
  <c r="D64" i="1" l="1"/>
  <c r="H38" i="1"/>
  <c r="H43" i="1" s="1"/>
  <c r="O28" i="1"/>
  <c r="J10" i="1"/>
  <c r="J8" i="1" s="1"/>
  <c r="J17" i="1" s="1"/>
  <c r="J18" i="1" l="1"/>
  <c r="K18" i="1"/>
  <c r="J20" i="1"/>
  <c r="J26" i="1" l="1"/>
  <c r="J28" i="1" s="1"/>
  <c r="J38" i="1" s="1"/>
  <c r="J43" i="1" s="1"/>
  <c r="D47" i="1" s="1"/>
  <c r="J21" i="1"/>
  <c r="J53" i="1" l="1"/>
  <c r="L47" i="1"/>
  <c r="L53" i="1"/>
  <c r="I51" i="1"/>
  <c r="K53" i="1"/>
  <c r="H51" i="1"/>
  <c r="I53" i="1"/>
  <c r="K47" i="1"/>
  <c r="H53" i="1"/>
  <c r="J47" i="1"/>
  <c r="L51" i="1"/>
  <c r="I47" i="1"/>
  <c r="K51" i="1"/>
  <c r="H47" i="1"/>
  <c r="J51" i="1"/>
  <c r="D51" i="1"/>
  <c r="D53" i="1" s="1"/>
  <c r="D70" i="1"/>
</calcChain>
</file>

<file path=xl/sharedStrings.xml><?xml version="1.0" encoding="utf-8"?>
<sst xmlns="http://schemas.openxmlformats.org/spreadsheetml/2006/main" count="114" uniqueCount="88">
  <si>
    <t>EBITDA</t>
  </si>
  <si>
    <t>EBIT</t>
  </si>
  <si>
    <t>WACC</t>
  </si>
  <si>
    <t>Sales</t>
  </si>
  <si>
    <t>Cost of Equity</t>
  </si>
  <si>
    <t>Capex</t>
  </si>
  <si>
    <t>Actual</t>
  </si>
  <si>
    <t>Present value of free cash flow</t>
  </si>
  <si>
    <t>CAGR</t>
  </si>
  <si>
    <t>Forecast period</t>
  </si>
  <si>
    <t>Cost of Debt</t>
  </si>
  <si>
    <t>Debt to Total Capitalization</t>
  </si>
  <si>
    <t>Equity to Total Capitalization</t>
  </si>
  <si>
    <t>Wacc Calculation</t>
  </si>
  <si>
    <t>Discount Period</t>
  </si>
  <si>
    <t>Discount Factor</t>
  </si>
  <si>
    <t>Terminal Value</t>
  </si>
  <si>
    <t>Terminal Year EBITDA</t>
  </si>
  <si>
    <t>Perpetuity Growth Rate</t>
  </si>
  <si>
    <t>Terminal Year Free Cash Flow</t>
  </si>
  <si>
    <t>Net Working Capital</t>
  </si>
  <si>
    <t>Increase/Decrease in NWC</t>
  </si>
  <si>
    <t>Unlevered Free Cash Flow</t>
  </si>
  <si>
    <t>Outstanding shares</t>
  </si>
  <si>
    <t>Input</t>
  </si>
  <si>
    <t>% of Enterprise Value</t>
  </si>
  <si>
    <t>Plus: Cash and Cash Equi.</t>
  </si>
  <si>
    <t>Less: Total debt</t>
  </si>
  <si>
    <t>Implied multiples</t>
  </si>
  <si>
    <t>Total costs</t>
  </si>
  <si>
    <t>Risk-free rate (2)</t>
  </si>
  <si>
    <t>Market risk Premium (3)</t>
  </si>
  <si>
    <t>Levered Beta (4)</t>
  </si>
  <si>
    <t>Size Premium (5)</t>
  </si>
  <si>
    <t>Company</t>
  </si>
  <si>
    <t>Present Value of Terminal Value</t>
  </si>
  <si>
    <t>Comparable Companies Unlevered Beta</t>
  </si>
  <si>
    <t>Mean</t>
  </si>
  <si>
    <t>Median</t>
  </si>
  <si>
    <t>Levered Beta (1)</t>
  </si>
  <si>
    <t>Market Value of Debt (2)</t>
  </si>
  <si>
    <t>Market Value of Equity (3)</t>
  </si>
  <si>
    <t>Unlevered Beta (4)</t>
  </si>
  <si>
    <t>(1) From Bloomberg</t>
  </si>
  <si>
    <t>(2) Book Value of Debt</t>
  </si>
  <si>
    <t>(3) From Bloomberg</t>
  </si>
  <si>
    <t>(4) Unlevered Beta = Predicted Levered Beta / (1 + Debt/Equity) x (1-t))</t>
  </si>
  <si>
    <t>Relevered Beta</t>
  </si>
  <si>
    <t>Mean Unlevered Beta</t>
  </si>
  <si>
    <t>Target Marginal Tax Rate</t>
  </si>
  <si>
    <t>Target Company</t>
  </si>
  <si>
    <t>Debt/ Equity</t>
  </si>
  <si>
    <t>Equity/ Total Assets</t>
  </si>
  <si>
    <t>Mean Target Debt/ Equity</t>
  </si>
  <si>
    <t>Debt to Equity Ratio</t>
  </si>
  <si>
    <t>Tax Rate</t>
  </si>
  <si>
    <t>Net sales</t>
  </si>
  <si>
    <t>Tax (30%)</t>
  </si>
  <si>
    <t>Depreciation</t>
  </si>
  <si>
    <t>growth, %</t>
  </si>
  <si>
    <t>margin, %</t>
  </si>
  <si>
    <t>Gross profit</t>
  </si>
  <si>
    <t>OPEX</t>
  </si>
  <si>
    <t>in % of net sales</t>
  </si>
  <si>
    <t>COGS</t>
  </si>
  <si>
    <t>Implied Exit Multiple</t>
  </si>
  <si>
    <t>Corporate tax rate</t>
  </si>
  <si>
    <t>Last Fiscal Year</t>
  </si>
  <si>
    <t>[XYZ]</t>
  </si>
  <si>
    <t>Price per share</t>
  </si>
  <si>
    <t>DCF-valuation</t>
  </si>
  <si>
    <t>Net debt (negative number equals net cash position)</t>
  </si>
  <si>
    <t>Source: business-valuation.net</t>
  </si>
  <si>
    <t>Enterprise value ("EV")</t>
  </si>
  <si>
    <t>Equity value ("market cap")</t>
  </si>
  <si>
    <t>[hide row on output]</t>
  </si>
  <si>
    <t>Comments</t>
  </si>
  <si>
    <t>After Tax Cost of Debt</t>
  </si>
  <si>
    <t>Obtained from Beta and Capital Structure tab</t>
  </si>
  <si>
    <t>Obtained from Input sheet</t>
  </si>
  <si>
    <t>Target Capital Structure</t>
  </si>
  <si>
    <t>Interpolated Yield on 10-year Treasury bond</t>
  </si>
  <si>
    <t>Obtained from Ibbotson SBBI Valuation Yearbook</t>
  </si>
  <si>
    <t>Low-Cap Decile size premium based on market capitalization, per Ibbotson</t>
  </si>
  <si>
    <t>Please see business-valuation.net for a tutorial on how to use the DCF model. Good luck!</t>
  </si>
  <si>
    <t>Date:</t>
  </si>
  <si>
    <t>Business-valuation.net</t>
  </si>
  <si>
    <t>Author: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</si>
</sst>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#,##0.0"/>
    <numFmt numFmtId="166" formatCode="#,##0.0\x"/>
    <numFmt numFmtId="167" formatCode="0.0\x"/>
    <numFmt numFmtId="168" formatCode="0\A"/>
    <numFmt numFmtId="169" formatCode="0&quot;E&quot;"/>
  </numFmts>
  <fonts count="4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0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sz val="9"/>
      <color theme="0"/>
      <name val="Arial"/>
      <family val="2"/>
    </font>
    <font>
      <b/>
      <sz val="9"/>
      <color theme="2"/>
      <name val="Arial"/>
      <family val="2"/>
    </font>
    <font>
      <b/>
      <sz val="10"/>
      <color theme="1"/>
      <name val="Arial"/>
      <family val="2"/>
    </font>
    <font>
      <sz val="9"/>
      <color rgb="FF048EB0"/>
      <name val="Arial"/>
      <family val="2"/>
    </font>
    <font>
      <sz val="9"/>
      <color rgb="FF4D4D4D"/>
      <name val="Arial"/>
      <family val="2"/>
    </font>
    <font>
      <i/>
      <sz val="9"/>
      <color rgb="FF4D4D4D"/>
      <name val="Arial"/>
      <family val="2"/>
    </font>
    <font>
      <b/>
      <sz val="9"/>
      <color rgb="FF4D4D4D"/>
      <name val="Arial"/>
      <family val="2"/>
    </font>
    <font>
      <b/>
      <i/>
      <sz val="9"/>
      <color rgb="FF4D4D4D"/>
      <name val="Arial"/>
      <family val="2"/>
    </font>
    <font>
      <sz val="1"/>
      <color theme="1"/>
      <name val="Arial"/>
      <family val="2"/>
    </font>
    <font>
      <sz val="1"/>
      <color rgb="FF4D4D4D"/>
      <name val="Arial"/>
      <family val="2"/>
    </font>
    <font>
      <i/>
      <sz val="1"/>
      <color rgb="FF4D4D4D"/>
      <name val="Arial"/>
      <family val="2"/>
    </font>
    <font>
      <sz val="1"/>
      <color rgb="FF000000"/>
      <name val="Arial"/>
      <family val="2"/>
    </font>
    <font>
      <b/>
      <sz val="1"/>
      <color rgb="FF4D4D4D"/>
      <name val="Arial"/>
      <family val="2"/>
    </font>
    <font>
      <i/>
      <sz val="1"/>
      <color theme="1"/>
      <name val="Arial"/>
      <family val="2"/>
    </font>
    <font>
      <b/>
      <i/>
      <sz val="1"/>
      <color rgb="FF4D4D4D"/>
      <name val="Arial"/>
      <family val="2"/>
    </font>
    <font>
      <b/>
      <u/>
      <sz val="9"/>
      <color theme="0"/>
      <name val="Arial"/>
      <family val="2"/>
    </font>
    <font>
      <b/>
      <sz val="1"/>
      <color theme="1"/>
      <name val="Arial"/>
      <family val="2"/>
    </font>
    <font>
      <sz val="1"/>
      <color theme="0"/>
      <name val="Arial"/>
      <family val="2"/>
    </font>
    <font>
      <i/>
      <sz val="9"/>
      <color rgb="FF048EB0"/>
      <name val="Arial"/>
      <family val="2"/>
    </font>
    <font>
      <sz val="11"/>
      <color theme="1"/>
      <name val="Arial"/>
      <family val="2"/>
    </font>
    <font>
      <sz val="10"/>
      <color rgb="FF048EB0"/>
      <name val="Arial"/>
      <family val="2"/>
    </font>
    <font>
      <sz val="10"/>
      <color rgb="FF4D4D4D"/>
      <name val="Arial"/>
      <family val="2"/>
    </font>
    <font>
      <b/>
      <sz val="10"/>
      <color rgb="FF4D4D4D"/>
      <name val="Arial"/>
      <family val="2"/>
    </font>
    <font>
      <i/>
      <sz val="8"/>
      <color rgb="FF4D4D4D"/>
      <name val="Arial"/>
      <family val="2"/>
    </font>
    <font>
      <i/>
      <sz val="9"/>
      <color theme="5"/>
      <name val="Arial"/>
      <family val="2"/>
    </font>
    <font>
      <b/>
      <sz val="11"/>
      <color rgb="FF4D4D4D"/>
      <name val="Arial"/>
      <family val="2"/>
    </font>
    <font>
      <b/>
      <sz val="18"/>
      <color rgb="FF048EB0"/>
      <name val="Arial"/>
      <family val="2"/>
    </font>
    <font>
      <b/>
      <sz val="14"/>
      <color rgb="FF048EB0"/>
      <name val="Arial"/>
      <family val="2"/>
    </font>
    <font>
      <sz val="9"/>
      <color theme="1"/>
      <name val="Calibri"/>
      <family val="2"/>
      <scheme val="minor"/>
    </font>
    <font>
      <sz val="24"/>
      <color rgb="FF048EB0"/>
      <name val="Arial'"/>
    </font>
    <font>
      <sz val="11"/>
      <color rgb="FF4D4D4D"/>
      <name val="Arial"/>
      <family val="2"/>
    </font>
    <font>
      <b/>
      <sz val="1"/>
      <color theme="0"/>
      <name val="Arial"/>
      <family val="2"/>
    </font>
    <font>
      <sz val="1"/>
      <color rgb="FF048EB0"/>
      <name val="Arial"/>
      <family val="2"/>
    </font>
    <font>
      <b/>
      <sz val="1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48EB0"/>
        <bgColor indexed="64"/>
      </patternFill>
    </fill>
    <fill>
      <patternFill patternType="solid">
        <fgColor rgb="FFE6F9FE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0" fontId="14" fillId="0" borderId="1" applyNumberFormat="0" applyFill="0" applyAlignment="0" applyProtection="0"/>
  </cellStyleXfs>
  <cellXfs count="261">
    <xf numFmtId="0" fontId="0" fillId="0" borderId="0" xfId="0"/>
    <xf numFmtId="0" fontId="2" fillId="0" borderId="0" xfId="0" applyFont="1" applyAlignment="1">
      <alignment vertical="center" wrapText="1" readingOrder="1"/>
    </xf>
    <xf numFmtId="3" fontId="5" fillId="0" borderId="0" xfId="0" applyNumberFormat="1" applyFont="1" applyAlignment="1">
      <alignment horizontal="righ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readingOrder="1"/>
    </xf>
    <xf numFmtId="0" fontId="3" fillId="0" borderId="0" xfId="0" applyFont="1" applyAlignment="1">
      <alignment vertical="center" wrapText="1" readingOrder="1"/>
    </xf>
    <xf numFmtId="9" fontId="3" fillId="0" borderId="0" xfId="0" applyNumberFormat="1" applyFont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5" fillId="0" borderId="0" xfId="0" applyFont="1" applyAlignment="1">
      <alignment horizontal="right" vertical="center" wrapText="1" readingOrder="1"/>
    </xf>
    <xf numFmtId="3" fontId="5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 readingOrder="1"/>
    </xf>
    <xf numFmtId="0" fontId="5" fillId="0" borderId="0" xfId="0" applyFont="1" applyAlignment="1">
      <alignment vertical="center" wrapText="1" readingOrder="1"/>
    </xf>
    <xf numFmtId="3" fontId="5" fillId="0" borderId="0" xfId="0" applyNumberFormat="1" applyFont="1" applyBorder="1" applyAlignment="1">
      <alignment horizontal="right" vertical="center" wrapText="1" readingOrder="1"/>
    </xf>
    <xf numFmtId="3" fontId="5" fillId="2" borderId="0" xfId="0" applyNumberFormat="1" applyFont="1" applyFill="1" applyBorder="1" applyAlignment="1">
      <alignment horizontal="right" vertical="center" wrapText="1" readingOrder="1"/>
    </xf>
    <xf numFmtId="0" fontId="5" fillId="0" borderId="0" xfId="0" applyFont="1" applyAlignment="1">
      <alignment horizontal="left" vertical="center" wrapText="1" readingOrder="1"/>
    </xf>
    <xf numFmtId="168" fontId="4" fillId="3" borderId="0" xfId="0" applyNumberFormat="1" applyFont="1" applyFill="1" applyBorder="1" applyAlignment="1">
      <alignment horizontal="right" vertical="center" wrapText="1" readingOrder="1"/>
    </xf>
    <xf numFmtId="0" fontId="4" fillId="3" borderId="0" xfId="0" applyFont="1" applyFill="1" applyBorder="1" applyAlignment="1">
      <alignment horizontal="right" vertical="center" wrapText="1" readingOrder="1"/>
    </xf>
    <xf numFmtId="0" fontId="4" fillId="3" borderId="0" xfId="0" applyFont="1" applyFill="1" applyBorder="1" applyAlignment="1">
      <alignment vertical="center" wrapText="1" readingOrder="1"/>
    </xf>
    <xf numFmtId="0" fontId="4" fillId="3" borderId="0" xfId="0" applyFont="1" applyFill="1" applyBorder="1" applyAlignment="1">
      <alignment horizontal="center" vertical="center" wrapText="1" readingOrder="1"/>
    </xf>
    <xf numFmtId="0" fontId="9" fillId="3" borderId="0" xfId="0" applyFont="1" applyFill="1" applyBorder="1" applyAlignment="1">
      <alignment vertical="center" wrapText="1" readingOrder="1"/>
    </xf>
    <xf numFmtId="3" fontId="5" fillId="0" borderId="0" xfId="0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3" fontId="2" fillId="0" borderId="0" xfId="0" applyNumberFormat="1" applyFont="1" applyFill="1" applyBorder="1" applyAlignment="1">
      <alignment horizontal="right" vertical="center" wrapText="1" readingOrder="1"/>
    </xf>
    <xf numFmtId="165" fontId="5" fillId="0" borderId="0" xfId="0" applyNumberFormat="1" applyFont="1" applyFill="1" applyBorder="1" applyAlignment="1">
      <alignment horizontal="right" vertical="center" wrapText="1" readingOrder="1"/>
    </xf>
    <xf numFmtId="164" fontId="11" fillId="0" borderId="0" xfId="0" applyNumberFormat="1" applyFont="1" applyFill="1" applyBorder="1" applyAlignment="1">
      <alignment horizontal="right" vertical="center" wrapText="1" readingOrder="1"/>
    </xf>
    <xf numFmtId="0" fontId="4" fillId="0" borderId="0" xfId="0" applyFont="1" applyFill="1" applyBorder="1" applyAlignment="1">
      <alignment horizontal="right" vertical="center" wrapText="1" readingOrder="1"/>
    </xf>
    <xf numFmtId="0" fontId="12" fillId="0" borderId="0" xfId="0" applyFont="1" applyFill="1" applyBorder="1" applyAlignment="1">
      <alignment vertical="center" textRotation="90"/>
    </xf>
    <xf numFmtId="3" fontId="5" fillId="0" borderId="0" xfId="0" applyNumberFormat="1" applyFont="1" applyFill="1" applyBorder="1" applyAlignment="1">
      <alignment horizontal="left" vertical="center" readingOrder="1"/>
    </xf>
    <xf numFmtId="3" fontId="5" fillId="0" borderId="0" xfId="0" applyNumberFormat="1" applyFont="1" applyBorder="1" applyAlignment="1">
      <alignment horizontal="left" vertical="center" readingOrder="1"/>
    </xf>
    <xf numFmtId="9" fontId="5" fillId="0" borderId="0" xfId="0" applyNumberFormat="1" applyFont="1" applyFill="1" applyBorder="1" applyAlignment="1">
      <alignment horizontal="right" vertical="center" wrapText="1" readingOrder="1"/>
    </xf>
    <xf numFmtId="3" fontId="16" fillId="0" borderId="0" xfId="0" applyNumberFormat="1" applyFont="1" applyFill="1" applyBorder="1" applyAlignment="1">
      <alignment horizontal="right" vertical="center" wrapText="1" readingOrder="1"/>
    </xf>
    <xf numFmtId="0" fontId="16" fillId="0" borderId="0" xfId="0" applyFont="1" applyFill="1" applyBorder="1" applyAlignment="1">
      <alignment horizontal="left" vertical="center" wrapText="1" readingOrder="1"/>
    </xf>
    <xf numFmtId="164" fontId="17" fillId="0" borderId="0" xfId="0" applyNumberFormat="1" applyFont="1" applyFill="1" applyBorder="1" applyAlignment="1">
      <alignment horizontal="right" vertical="center" wrapText="1" readingOrder="1"/>
    </xf>
    <xf numFmtId="9" fontId="17" fillId="0" borderId="0" xfId="0" applyNumberFormat="1" applyFont="1" applyFill="1" applyBorder="1" applyAlignment="1">
      <alignment horizontal="right" vertical="center" wrapText="1" readingOrder="1"/>
    </xf>
    <xf numFmtId="164" fontId="19" fillId="0" borderId="0" xfId="0" applyNumberFormat="1" applyFont="1" applyFill="1" applyBorder="1" applyAlignment="1">
      <alignment horizontal="right" vertical="center" wrapText="1" readingOrder="1"/>
    </xf>
    <xf numFmtId="164" fontId="16" fillId="0" borderId="0" xfId="0" applyNumberFormat="1" applyFont="1" applyFill="1" applyBorder="1" applyAlignment="1">
      <alignment horizontal="right" vertical="center" wrapText="1" readingOrder="1"/>
    </xf>
    <xf numFmtId="3" fontId="18" fillId="0" borderId="0" xfId="0" applyNumberFormat="1" applyFont="1" applyFill="1" applyBorder="1" applyAlignment="1">
      <alignment horizontal="right" vertical="center" wrapText="1" readingOrder="1"/>
    </xf>
    <xf numFmtId="9" fontId="19" fillId="0" borderId="0" xfId="0" applyNumberFormat="1" applyFont="1" applyFill="1" applyBorder="1" applyAlignment="1">
      <alignment horizontal="right" vertical="center" wrapText="1" readingOrder="1"/>
    </xf>
    <xf numFmtId="164" fontId="18" fillId="0" borderId="0" xfId="0" applyNumberFormat="1" applyFont="1" applyFill="1" applyBorder="1" applyAlignment="1">
      <alignment horizontal="right" vertical="center" wrapText="1" readingOrder="1"/>
    </xf>
    <xf numFmtId="165" fontId="16" fillId="0" borderId="0" xfId="0" applyNumberFormat="1" applyFont="1" applyFill="1" applyBorder="1" applyAlignment="1">
      <alignment horizontal="right" vertical="center" wrapText="1" readingOrder="1"/>
    </xf>
    <xf numFmtId="4" fontId="16" fillId="0" borderId="0" xfId="0" applyNumberFormat="1" applyFont="1" applyFill="1" applyBorder="1" applyAlignment="1">
      <alignment horizontal="right" vertical="center" wrapText="1" readingOrder="1"/>
    </xf>
    <xf numFmtId="0" fontId="21" fillId="0" borderId="0" xfId="0" applyFont="1" applyFill="1" applyBorder="1" applyAlignment="1">
      <alignment horizontal="left" vertical="center" wrapText="1" readingOrder="1"/>
    </xf>
    <xf numFmtId="3" fontId="21" fillId="0" borderId="0" xfId="0" applyNumberFormat="1" applyFont="1" applyFill="1" applyBorder="1" applyAlignment="1">
      <alignment horizontal="right" vertical="center" wrapText="1" readingOrder="1"/>
    </xf>
    <xf numFmtId="3" fontId="23" fillId="0" borderId="0" xfId="0" applyNumberFormat="1" applyFont="1" applyFill="1" applyBorder="1" applyAlignment="1">
      <alignment horizontal="right" vertical="center" wrapText="1" readingOrder="1"/>
    </xf>
    <xf numFmtId="0" fontId="18" fillId="0" borderId="3" xfId="0" applyFont="1" applyFill="1" applyBorder="1" applyAlignment="1">
      <alignment horizontal="left" vertical="center" wrapText="1" readingOrder="1"/>
    </xf>
    <xf numFmtId="0" fontId="17" fillId="0" borderId="0" xfId="0" applyFont="1" applyFill="1" applyBorder="1" applyAlignment="1">
      <alignment horizontal="left" vertical="center" wrapText="1" indent="1" readingOrder="1"/>
    </xf>
    <xf numFmtId="0" fontId="17" fillId="0" borderId="0" xfId="0" applyFont="1" applyFill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164" fontId="21" fillId="0" borderId="0" xfId="0" applyNumberFormat="1" applyFont="1" applyFill="1" applyBorder="1" applyAlignment="1">
      <alignment horizontal="right" vertical="center" wrapText="1" readingOrder="1"/>
    </xf>
    <xf numFmtId="164" fontId="22" fillId="0" borderId="0" xfId="0" applyNumberFormat="1" applyFont="1" applyFill="1" applyBorder="1" applyAlignment="1">
      <alignment horizontal="right" vertical="center" wrapText="1" readingOrder="1"/>
    </xf>
    <xf numFmtId="3" fontId="18" fillId="0" borderId="3" xfId="0" applyNumberFormat="1" applyFont="1" applyFill="1" applyBorder="1" applyAlignment="1">
      <alignment horizontal="right" vertical="center" wrapText="1" readingOrder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69" fontId="4" fillId="3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 wrapText="1" readingOrder="1"/>
    </xf>
    <xf numFmtId="164" fontId="18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 wrapText="1" readingOrder="1"/>
    </xf>
    <xf numFmtId="164" fontId="21" fillId="0" borderId="0" xfId="0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vertical="center"/>
    </xf>
    <xf numFmtId="164" fontId="20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vertical="center"/>
    </xf>
    <xf numFmtId="9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19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164" fontId="22" fillId="0" borderId="0" xfId="0" applyNumberFormat="1" applyFont="1" applyFill="1" applyBorder="1" applyAlignment="1">
      <alignment vertical="center"/>
    </xf>
    <xf numFmtId="164" fontId="26" fillId="0" borderId="0" xfId="0" applyNumberFormat="1" applyFont="1" applyFill="1" applyBorder="1" applyAlignment="1">
      <alignment vertical="center"/>
    </xf>
    <xf numFmtId="164" fontId="25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7" fillId="3" borderId="0" xfId="0" applyFont="1" applyFill="1" applyBorder="1" applyAlignment="1">
      <alignment horizontal="centerContinuous" vertical="center" wrapText="1" readingOrder="1"/>
    </xf>
    <xf numFmtId="0" fontId="27" fillId="3" borderId="0" xfId="0" applyFont="1" applyFill="1" applyBorder="1" applyAlignment="1">
      <alignment horizontal="centerContinuous" vertical="center"/>
    </xf>
    <xf numFmtId="0" fontId="18" fillId="4" borderId="3" xfId="0" applyFont="1" applyFill="1" applyBorder="1" applyAlignment="1">
      <alignment horizontal="left" vertical="center" wrapText="1" readingOrder="1"/>
    </xf>
    <xf numFmtId="3" fontId="18" fillId="4" borderId="3" xfId="0" applyNumberFormat="1" applyFont="1" applyFill="1" applyBorder="1" applyAlignment="1">
      <alignment horizontal="right" vertical="center"/>
    </xf>
    <xf numFmtId="0" fontId="18" fillId="4" borderId="5" xfId="0" applyFont="1" applyFill="1" applyBorder="1" applyAlignment="1">
      <alignment horizontal="left" vertical="center" wrapText="1" readingOrder="1"/>
    </xf>
    <xf numFmtId="3" fontId="18" fillId="4" borderId="5" xfId="0" applyNumberFormat="1" applyFont="1" applyFill="1" applyBorder="1" applyAlignment="1">
      <alignment horizontal="right" vertical="center" wrapText="1" readingOrder="1"/>
    </xf>
    <xf numFmtId="9" fontId="21" fillId="0" borderId="0" xfId="0" applyNumberFormat="1" applyFont="1" applyFill="1" applyBorder="1" applyAlignment="1">
      <alignment horizontal="right" vertical="center" wrapText="1" readingOrder="1"/>
    </xf>
    <xf numFmtId="3" fontId="28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 textRotation="90"/>
    </xf>
    <xf numFmtId="1" fontId="20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9" fontId="22" fillId="0" borderId="0" xfId="0" applyNumberFormat="1" applyFont="1" applyFill="1" applyBorder="1" applyAlignment="1">
      <alignment horizontal="right" vertical="center" wrapText="1" readingOrder="1"/>
    </xf>
    <xf numFmtId="164" fontId="19" fillId="4" borderId="3" xfId="0" applyNumberFormat="1" applyFont="1" applyFill="1" applyBorder="1" applyAlignment="1">
      <alignment horizontal="right" vertical="center" wrapText="1" readingOrder="1"/>
    </xf>
    <xf numFmtId="164" fontId="18" fillId="4" borderId="0" xfId="0" applyNumberFormat="1" applyFont="1" applyFill="1" applyBorder="1" applyAlignment="1">
      <alignment horizontal="right" vertical="center" wrapText="1" readingOrder="1"/>
    </xf>
    <xf numFmtId="164" fontId="30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22" fillId="0" borderId="0" xfId="0" quotePrefix="1" applyFont="1" applyFill="1" applyBorder="1" applyAlignment="1">
      <alignment horizontal="left" vertical="center" wrapText="1" readingOrder="1"/>
    </xf>
    <xf numFmtId="9" fontId="21" fillId="0" borderId="0" xfId="0" applyNumberFormat="1" applyFont="1" applyFill="1" applyBorder="1" applyAlignment="1">
      <alignment vertical="center"/>
    </xf>
    <xf numFmtId="9" fontId="20" fillId="0" borderId="0" xfId="0" applyNumberFormat="1" applyFont="1" applyFill="1" applyBorder="1" applyAlignment="1">
      <alignment vertical="center"/>
    </xf>
    <xf numFmtId="1" fontId="28" fillId="0" borderId="0" xfId="0" applyNumberFormat="1" applyFont="1" applyFill="1" applyBorder="1" applyAlignment="1">
      <alignment vertical="center"/>
    </xf>
    <xf numFmtId="164" fontId="19" fillId="0" borderId="3" xfId="0" applyNumberFormat="1" applyFont="1" applyFill="1" applyBorder="1" applyAlignment="1">
      <alignment horizontal="right" vertical="center" wrapText="1" readingOrder="1"/>
    </xf>
    <xf numFmtId="3" fontId="18" fillId="0" borderId="0" xfId="0" applyNumberFormat="1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164" fontId="18" fillId="0" borderId="3" xfId="0" applyNumberFormat="1" applyFont="1" applyFill="1" applyBorder="1" applyAlignment="1">
      <alignment horizontal="right" vertical="center" wrapText="1" readingOrder="1"/>
    </xf>
    <xf numFmtId="165" fontId="15" fillId="0" borderId="0" xfId="0" applyNumberFormat="1" applyFont="1" applyFill="1" applyBorder="1" applyAlignment="1">
      <alignment horizontal="right" vertical="center" wrapText="1" readingOrder="1"/>
    </xf>
    <xf numFmtId="0" fontId="18" fillId="4" borderId="0" xfId="0" applyFont="1" applyFill="1" applyBorder="1" applyAlignment="1">
      <alignment horizontal="left" vertical="center" wrapText="1" readingOrder="1"/>
    </xf>
    <xf numFmtId="3" fontId="16" fillId="4" borderId="0" xfId="0" applyNumberFormat="1" applyFont="1" applyFill="1" applyBorder="1" applyAlignment="1">
      <alignment horizontal="right" vertical="center" wrapText="1" readingOrder="1"/>
    </xf>
    <xf numFmtId="0" fontId="18" fillId="0" borderId="2" xfId="0" applyFont="1" applyFill="1" applyBorder="1" applyAlignment="1">
      <alignment horizontal="left" vertical="center" wrapText="1" readingOrder="1"/>
    </xf>
    <xf numFmtId="0" fontId="18" fillId="0" borderId="2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3" fontId="18" fillId="4" borderId="0" xfId="0" applyNumberFormat="1" applyFont="1" applyFill="1" applyBorder="1" applyAlignment="1">
      <alignment vertical="center"/>
    </xf>
    <xf numFmtId="164" fontId="18" fillId="4" borderId="0" xfId="0" applyNumberFormat="1" applyFont="1" applyFill="1" applyBorder="1" applyAlignment="1">
      <alignment vertical="center"/>
    </xf>
    <xf numFmtId="3" fontId="18" fillId="4" borderId="3" xfId="0" applyNumberFormat="1" applyFont="1" applyFill="1" applyBorder="1" applyAlignment="1">
      <alignment horizontal="right" vertical="center" wrapText="1" readingOrder="1"/>
    </xf>
    <xf numFmtId="4" fontId="18" fillId="0" borderId="0" xfId="0" applyNumberFormat="1" applyFont="1" applyFill="1" applyBorder="1" applyAlignment="1">
      <alignment horizontal="right" vertical="center" wrapText="1" readingOrder="1"/>
    </xf>
    <xf numFmtId="165" fontId="21" fillId="0" borderId="0" xfId="0" applyNumberFormat="1" applyFont="1" applyFill="1" applyBorder="1" applyAlignment="1">
      <alignment horizontal="right" vertical="center" wrapText="1" readingOrder="1"/>
    </xf>
    <xf numFmtId="164" fontId="15" fillId="0" borderId="0" xfId="0" applyNumberFormat="1" applyFont="1" applyFill="1" applyBorder="1" applyAlignment="1">
      <alignment horizontal="right" vertical="center" wrapText="1" readingOrder="1"/>
    </xf>
    <xf numFmtId="3" fontId="16" fillId="0" borderId="2" xfId="0" applyNumberFormat="1" applyFont="1" applyFill="1" applyBorder="1" applyAlignment="1">
      <alignment horizontal="right" vertical="center" wrapText="1" readingOrder="1"/>
    </xf>
    <xf numFmtId="0" fontId="16" fillId="3" borderId="0" xfId="0" applyFont="1" applyFill="1" applyBorder="1" applyAlignment="1">
      <alignment horizontal="left" vertical="center" wrapText="1" readingOrder="1"/>
    </xf>
    <xf numFmtId="164" fontId="18" fillId="3" borderId="0" xfId="0" applyNumberFormat="1" applyFont="1" applyFill="1" applyBorder="1" applyAlignment="1">
      <alignment horizontal="right" vertical="center" wrapText="1" readingOrder="1"/>
    </xf>
    <xf numFmtId="0" fontId="18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69" fontId="18" fillId="0" borderId="2" xfId="0" applyNumberFormat="1" applyFont="1" applyFill="1" applyBorder="1" applyAlignment="1">
      <alignment vertical="center"/>
    </xf>
    <xf numFmtId="168" fontId="18" fillId="0" borderId="2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31" fillId="3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9" fontId="32" fillId="0" borderId="2" xfId="0" applyNumberFormat="1" applyFont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 wrapText="1" readingOrder="1"/>
    </xf>
    <xf numFmtId="0" fontId="18" fillId="0" borderId="2" xfId="0" applyFont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64" fontId="34" fillId="0" borderId="0" xfId="0" applyNumberFormat="1" applyFont="1" applyFill="1" applyBorder="1" applyAlignment="1">
      <alignment horizontal="right" vertical="center" wrapText="1" readingOrder="1"/>
    </xf>
    <xf numFmtId="164" fontId="33" fillId="0" borderId="0" xfId="0" applyNumberFormat="1" applyFont="1" applyFill="1" applyBorder="1" applyAlignment="1">
      <alignment horizontal="right" vertical="center" wrapText="1" readingOrder="1"/>
    </xf>
    <xf numFmtId="3" fontId="15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textRotation="90"/>
    </xf>
    <xf numFmtId="0" fontId="35" fillId="0" borderId="0" xfId="0" applyFont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3" fontId="16" fillId="4" borderId="0" xfId="0" applyNumberFormat="1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 readingOrder="1"/>
    </xf>
    <xf numFmtId="3" fontId="15" fillId="4" borderId="0" xfId="0" applyNumberFormat="1" applyFont="1" applyFill="1" applyBorder="1" applyAlignment="1">
      <alignment horizontal="right" vertical="center" wrapText="1" readingOrder="1"/>
    </xf>
    <xf numFmtId="0" fontId="16" fillId="4" borderId="2" xfId="0" applyFont="1" applyFill="1" applyBorder="1" applyAlignment="1">
      <alignment vertical="center"/>
    </xf>
    <xf numFmtId="4" fontId="16" fillId="4" borderId="2" xfId="0" applyNumberFormat="1" applyFont="1" applyFill="1" applyBorder="1" applyAlignment="1">
      <alignment vertical="center"/>
    </xf>
    <xf numFmtId="167" fontId="16" fillId="4" borderId="0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167" fontId="16" fillId="4" borderId="2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right" vertical="center" wrapText="1" readingOrder="1"/>
    </xf>
    <xf numFmtId="3" fontId="17" fillId="0" borderId="0" xfId="0" applyNumberFormat="1" applyFont="1" applyFill="1" applyBorder="1" applyAlignment="1">
      <alignment horizontal="left" vertical="center" indent="1"/>
    </xf>
    <xf numFmtId="0" fontId="16" fillId="4" borderId="0" xfId="0" applyFont="1" applyFill="1" applyBorder="1" applyAlignment="1">
      <alignment horizontal="left" vertical="center" wrapText="1" indent="1" readingOrder="1"/>
    </xf>
    <xf numFmtId="0" fontId="16" fillId="4" borderId="0" xfId="0" applyFont="1" applyFill="1" applyBorder="1" applyAlignment="1">
      <alignment horizontal="left" vertical="center" indent="1"/>
    </xf>
    <xf numFmtId="0" fontId="36" fillId="4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textRotation="90"/>
    </xf>
    <xf numFmtId="164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readingOrder="1"/>
    </xf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textRotation="90"/>
    </xf>
    <xf numFmtId="3" fontId="16" fillId="0" borderId="0" xfId="0" applyNumberFormat="1" applyFont="1" applyBorder="1" applyAlignment="1">
      <alignment horizontal="right" vertical="center" wrapText="1" readingOrder="1"/>
    </xf>
    <xf numFmtId="3" fontId="16" fillId="0" borderId="0" xfId="0" applyNumberFormat="1" applyFont="1" applyBorder="1" applyAlignment="1">
      <alignment horizontal="left" vertical="center" readingOrder="1"/>
    </xf>
    <xf numFmtId="3" fontId="16" fillId="0" borderId="0" xfId="0" applyNumberFormat="1" applyFont="1" applyAlignment="1">
      <alignment horizontal="right" vertical="center" wrapText="1" readingOrder="1"/>
    </xf>
    <xf numFmtId="3" fontId="16" fillId="2" borderId="0" xfId="0" applyNumberFormat="1" applyFont="1" applyFill="1" applyBorder="1" applyAlignment="1">
      <alignment horizontal="right" vertical="center" wrapText="1" readingOrder="1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right" vertical="center" wrapText="1" readingOrder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3" fontId="16" fillId="0" borderId="2" xfId="0" applyNumberFormat="1" applyFont="1" applyFill="1" applyBorder="1" applyAlignment="1">
      <alignment vertical="center"/>
    </xf>
    <xf numFmtId="164" fontId="18" fillId="0" borderId="2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3" fontId="16" fillId="0" borderId="2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18" fillId="0" borderId="0" xfId="0" applyNumberFormat="1" applyFont="1" applyFill="1" applyBorder="1" applyAlignment="1">
      <alignment horizontal="right" vertical="center"/>
    </xf>
    <xf numFmtId="9" fontId="16" fillId="0" borderId="0" xfId="0" applyNumberFormat="1" applyFont="1" applyFill="1" applyBorder="1" applyAlignment="1">
      <alignment horizontal="right" vertical="center"/>
    </xf>
    <xf numFmtId="3" fontId="16" fillId="0" borderId="3" xfId="0" applyNumberFormat="1" applyFont="1" applyBorder="1" applyAlignment="1">
      <alignment horizontal="right" vertical="center" wrapText="1" readingOrder="1"/>
    </xf>
    <xf numFmtId="164" fontId="18" fillId="0" borderId="3" xfId="0" applyNumberFormat="1" applyFont="1" applyFill="1" applyBorder="1" applyAlignment="1">
      <alignment horizontal="right" vertical="center"/>
    </xf>
    <xf numFmtId="0" fontId="14" fillId="4" borderId="5" xfId="1" applyFill="1" applyBorder="1" applyAlignment="1">
      <alignment horizontal="left" vertical="center"/>
    </xf>
    <xf numFmtId="164" fontId="14" fillId="4" borderId="5" xfId="1" applyNumberFormat="1" applyFill="1" applyBorder="1" applyAlignment="1">
      <alignment horizontal="right" vertical="center" wrapText="1" readingOrder="1"/>
    </xf>
    <xf numFmtId="3" fontId="14" fillId="4" borderId="5" xfId="1" applyNumberFormat="1" applyFill="1" applyBorder="1" applyAlignment="1">
      <alignment horizontal="right" vertical="center" wrapText="1" readingOrder="1"/>
    </xf>
    <xf numFmtId="0" fontId="34" fillId="4" borderId="5" xfId="1" applyFont="1" applyFill="1" applyBorder="1" applyAlignment="1">
      <alignment horizontal="left" vertical="center"/>
    </xf>
    <xf numFmtId="164" fontId="34" fillId="4" borderId="5" xfId="1" applyNumberFormat="1" applyFont="1" applyFill="1" applyBorder="1" applyAlignment="1">
      <alignment horizontal="right" vertical="center" wrapText="1" readingOrder="1"/>
    </xf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2" xfId="0" applyFont="1" applyFill="1" applyBorder="1" applyAlignment="1">
      <alignment horizontal="right" vertical="center" wrapText="1"/>
    </xf>
    <xf numFmtId="164" fontId="16" fillId="2" borderId="0" xfId="0" applyNumberFormat="1" applyFont="1" applyFill="1" applyAlignment="1">
      <alignment horizontal="right" vertical="center"/>
    </xf>
    <xf numFmtId="2" fontId="16" fillId="2" borderId="0" xfId="0" applyNumberFormat="1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0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 readingOrder="1"/>
    </xf>
    <xf numFmtId="9" fontId="15" fillId="2" borderId="0" xfId="0" applyNumberFormat="1" applyFont="1" applyFill="1" applyAlignment="1">
      <alignment horizontal="right" vertical="center"/>
    </xf>
    <xf numFmtId="0" fontId="39" fillId="0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1" fontId="15" fillId="2" borderId="0" xfId="0" applyNumberFormat="1" applyFont="1" applyFill="1" applyAlignment="1">
      <alignment horizontal="right" vertical="center"/>
    </xf>
    <xf numFmtId="0" fontId="18" fillId="4" borderId="4" xfId="0" applyFont="1" applyFill="1" applyBorder="1" applyAlignment="1">
      <alignment vertical="center"/>
    </xf>
    <xf numFmtId="2" fontId="18" fillId="4" borderId="4" xfId="0" applyNumberFormat="1" applyFont="1" applyFill="1" applyBorder="1" applyAlignment="1">
      <alignment horizontal="right" vertical="center"/>
    </xf>
    <xf numFmtId="164" fontId="18" fillId="4" borderId="4" xfId="0" applyNumberFormat="1" applyFont="1" applyFill="1" applyBorder="1" applyAlignment="1">
      <alignment horizontal="right" vertical="center"/>
    </xf>
    <xf numFmtId="9" fontId="18" fillId="4" borderId="4" xfId="0" applyNumberFormat="1" applyFont="1" applyFill="1" applyBorder="1" applyAlignment="1">
      <alignment horizontal="right" vertical="center"/>
    </xf>
    <xf numFmtId="0" fontId="18" fillId="4" borderId="2" xfId="0" applyFont="1" applyFill="1" applyBorder="1" applyAlignment="1">
      <alignment vertical="center"/>
    </xf>
    <xf numFmtId="2" fontId="18" fillId="4" borderId="2" xfId="0" applyNumberFormat="1" applyFont="1" applyFill="1" applyBorder="1" applyAlignment="1">
      <alignment horizontal="right" vertical="center"/>
    </xf>
    <xf numFmtId="164" fontId="18" fillId="4" borderId="2" xfId="0" applyNumberFormat="1" applyFont="1" applyFill="1" applyBorder="1" applyAlignment="1">
      <alignment horizontal="right" vertical="center"/>
    </xf>
    <xf numFmtId="9" fontId="18" fillId="4" borderId="2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right" vertical="center"/>
    </xf>
    <xf numFmtId="0" fontId="16" fillId="3" borderId="0" xfId="0" applyFont="1" applyFill="1" applyAlignment="1">
      <alignment horizontal="left" vertical="center" readingOrder="1"/>
    </xf>
    <xf numFmtId="0" fontId="16" fillId="3" borderId="0" xfId="0" applyFont="1" applyFill="1" applyAlignment="1">
      <alignment vertical="center"/>
    </xf>
    <xf numFmtId="2" fontId="16" fillId="2" borderId="0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>
      <alignment horizontal="right" vertical="center"/>
    </xf>
    <xf numFmtId="9" fontId="16" fillId="2" borderId="0" xfId="0" applyNumberFormat="1" applyFont="1" applyFill="1" applyBorder="1" applyAlignment="1">
      <alignment horizontal="right" vertical="center"/>
    </xf>
    <xf numFmtId="2" fontId="16" fillId="4" borderId="0" xfId="0" applyNumberFormat="1" applyFont="1" applyFill="1" applyBorder="1" applyAlignment="1">
      <alignment horizontal="right" vertical="center"/>
    </xf>
    <xf numFmtId="0" fontId="21" fillId="2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right" vertical="center" wrapText="1"/>
    </xf>
    <xf numFmtId="0" fontId="21" fillId="2" borderId="0" xfId="0" applyFont="1" applyFill="1" applyAlignment="1">
      <alignment horizontal="center" vertical="center" wrapText="1"/>
    </xf>
    <xf numFmtId="0" fontId="42" fillId="0" borderId="0" xfId="0" applyFont="1" applyAlignment="1">
      <alignment vertical="center"/>
    </xf>
    <xf numFmtId="14" fontId="42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164" fontId="30" fillId="0" borderId="0" xfId="0" applyNumberFormat="1" applyFont="1" applyFill="1" applyBorder="1" applyAlignment="1">
      <alignment horizontal="right" vertical="center" wrapText="1" readingOrder="1"/>
    </xf>
    <xf numFmtId="3" fontId="24" fillId="0" borderId="0" xfId="0" applyNumberFormat="1" applyFont="1" applyFill="1" applyBorder="1" applyAlignment="1">
      <alignment horizontal="left" vertical="center"/>
    </xf>
    <xf numFmtId="3" fontId="22" fillId="0" borderId="0" xfId="0" applyNumberFormat="1" applyFont="1" applyFill="1" applyBorder="1" applyAlignment="1">
      <alignment horizontal="left" vertical="center" indent="1"/>
    </xf>
    <xf numFmtId="166" fontId="22" fillId="0" borderId="0" xfId="0" applyNumberFormat="1" applyFont="1" applyFill="1" applyBorder="1" applyAlignment="1">
      <alignment horizontal="right" vertical="center" wrapText="1" readingOrder="1"/>
    </xf>
    <xf numFmtId="0" fontId="43" fillId="0" borderId="0" xfId="0" applyFont="1" applyFill="1" applyBorder="1" applyAlignment="1">
      <alignment vertical="center" textRotation="90"/>
    </xf>
    <xf numFmtId="164" fontId="28" fillId="0" borderId="0" xfId="0" applyNumberFormat="1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vertical="center"/>
    </xf>
    <xf numFmtId="164" fontId="44" fillId="0" borderId="0" xfId="0" applyNumberFormat="1" applyFont="1" applyFill="1" applyBorder="1" applyAlignment="1">
      <alignment horizontal="right" vertical="center" wrapText="1" readingOrder="1"/>
    </xf>
    <xf numFmtId="0" fontId="43" fillId="0" borderId="0" xfId="0" applyFont="1" applyFill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right" vertical="center" wrapText="1" readingOrder="1"/>
    </xf>
    <xf numFmtId="164" fontId="45" fillId="0" borderId="0" xfId="0" applyNumberFormat="1" applyFont="1" applyFill="1" applyBorder="1" applyAlignment="1">
      <alignment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Summa" xfId="1" builtinId="25"/>
  </cellStyles>
  <dxfs count="0"/>
  <tableStyles count="0" defaultTableStyle="TableStyleMedium9" defaultPivotStyle="PivotStyleLight16"/>
  <colors>
    <mruColors>
      <color rgb="FF048EB0"/>
      <color rgb="FF4D4D4D"/>
      <color rgb="FFE6F9FE"/>
      <color rgb="FFBBF0FD"/>
      <color rgb="FF0099FF"/>
      <color rgb="FF108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48EB0"/>
  </sheetPr>
  <dimension ref="D12:L25"/>
  <sheetViews>
    <sheetView zoomScaleNormal="100" workbookViewId="0">
      <selection activeCell="A2" sqref="A2"/>
    </sheetView>
  </sheetViews>
  <sheetFormatPr defaultRowHeight="15"/>
  <cols>
    <col min="1" max="4" width="9.140625" style="207"/>
    <col min="5" max="5" width="11.5703125" style="207" bestFit="1" customWidth="1"/>
    <col min="6" max="16384" width="9.140625" style="207"/>
  </cols>
  <sheetData>
    <row r="12" spans="4:12">
      <c r="D12" s="257" t="s">
        <v>84</v>
      </c>
      <c r="E12" s="257"/>
      <c r="F12" s="257"/>
      <c r="G12" s="257"/>
      <c r="H12" s="257"/>
      <c r="I12" s="257"/>
      <c r="J12" s="257"/>
      <c r="K12" s="257"/>
      <c r="L12" s="257"/>
    </row>
    <row r="13" spans="4:12">
      <c r="D13" s="257"/>
      <c r="E13" s="257"/>
      <c r="F13" s="257"/>
      <c r="G13" s="257"/>
      <c r="H13" s="257"/>
      <c r="I13" s="257"/>
      <c r="J13" s="257"/>
      <c r="K13" s="257"/>
      <c r="L13" s="257"/>
    </row>
    <row r="14" spans="4:12">
      <c r="D14" s="257"/>
      <c r="E14" s="257"/>
      <c r="F14" s="257"/>
      <c r="G14" s="257"/>
      <c r="H14" s="257"/>
      <c r="I14" s="257"/>
      <c r="J14" s="257"/>
      <c r="K14" s="257"/>
      <c r="L14" s="257"/>
    </row>
    <row r="15" spans="4:12">
      <c r="D15" s="257"/>
      <c r="E15" s="257"/>
      <c r="F15" s="257"/>
      <c r="G15" s="257"/>
      <c r="H15" s="257"/>
      <c r="I15" s="257"/>
      <c r="J15" s="257"/>
      <c r="K15" s="257"/>
      <c r="L15" s="257"/>
    </row>
    <row r="16" spans="4:12">
      <c r="D16" s="257"/>
      <c r="E16" s="257"/>
      <c r="F16" s="257"/>
      <c r="G16" s="257"/>
      <c r="H16" s="257"/>
      <c r="I16" s="257"/>
      <c r="J16" s="257"/>
      <c r="K16" s="257"/>
      <c r="L16" s="257"/>
    </row>
    <row r="17" spans="4:12">
      <c r="D17" s="257"/>
      <c r="E17" s="257"/>
      <c r="F17" s="257"/>
      <c r="G17" s="257"/>
      <c r="H17" s="257"/>
      <c r="I17" s="257"/>
      <c r="J17" s="257"/>
      <c r="K17" s="257"/>
      <c r="L17" s="257"/>
    </row>
    <row r="18" spans="4:12">
      <c r="D18" s="257"/>
      <c r="E18" s="257"/>
      <c r="F18" s="257"/>
      <c r="G18" s="257"/>
      <c r="H18" s="257"/>
      <c r="I18" s="257"/>
      <c r="J18" s="257"/>
      <c r="K18" s="257"/>
      <c r="L18" s="257"/>
    </row>
    <row r="19" spans="4:12">
      <c r="D19" s="257"/>
      <c r="E19" s="257"/>
      <c r="F19" s="257"/>
      <c r="G19" s="257"/>
      <c r="H19" s="257"/>
      <c r="I19" s="257"/>
      <c r="J19" s="257"/>
      <c r="K19" s="257"/>
      <c r="L19" s="257"/>
    </row>
    <row r="20" spans="4:12">
      <c r="D20" s="257"/>
      <c r="E20" s="257"/>
      <c r="F20" s="257"/>
      <c r="G20" s="257"/>
      <c r="H20" s="257"/>
      <c r="I20" s="257"/>
      <c r="J20" s="257"/>
      <c r="K20" s="257"/>
      <c r="L20" s="257"/>
    </row>
    <row r="21" spans="4:12">
      <c r="D21" s="257"/>
      <c r="E21" s="257"/>
      <c r="F21" s="257"/>
      <c r="G21" s="257"/>
      <c r="H21" s="257"/>
      <c r="I21" s="257"/>
      <c r="J21" s="257"/>
      <c r="K21" s="257"/>
      <c r="L21" s="257"/>
    </row>
    <row r="22" spans="4:12">
      <c r="D22" s="257"/>
      <c r="E22" s="257"/>
      <c r="F22" s="257"/>
      <c r="G22" s="257"/>
      <c r="H22" s="257"/>
      <c r="I22" s="257"/>
      <c r="J22" s="257"/>
      <c r="K22" s="257"/>
      <c r="L22" s="257"/>
    </row>
    <row r="24" spans="4:12">
      <c r="D24" s="243" t="s">
        <v>85</v>
      </c>
      <c r="E24" s="242">
        <v>43178</v>
      </c>
    </row>
    <row r="25" spans="4:12">
      <c r="D25" s="243" t="s">
        <v>87</v>
      </c>
      <c r="E25" s="241" t="s">
        <v>86</v>
      </c>
    </row>
  </sheetData>
  <mergeCells count="1">
    <mergeCell ref="D12:L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48EB0"/>
  </sheetPr>
  <dimension ref="B2:C5"/>
  <sheetViews>
    <sheetView showGridLines="0" zoomScale="115" zoomScaleNormal="115" workbookViewId="0">
      <selection activeCell="B11" sqref="B11"/>
    </sheetView>
  </sheetViews>
  <sheetFormatPr defaultRowHeight="14.25"/>
  <cols>
    <col min="1" max="1" width="4.140625" style="135" customWidth="1"/>
    <col min="2" max="2" width="19.5703125" style="135" customWidth="1"/>
    <col min="3" max="16384" width="9.140625" style="135"/>
  </cols>
  <sheetData>
    <row r="2" spans="2:3">
      <c r="B2" s="139"/>
      <c r="C2" s="139"/>
    </row>
    <row r="3" spans="2:3">
      <c r="B3" s="136"/>
      <c r="C3" s="138" t="s">
        <v>24</v>
      </c>
    </row>
    <row r="4" spans="2:3">
      <c r="B4" s="137" t="s">
        <v>67</v>
      </c>
      <c r="C4" s="140">
        <v>2017</v>
      </c>
    </row>
    <row r="5" spans="2:3">
      <c r="B5" s="136" t="s">
        <v>66</v>
      </c>
      <c r="C5" s="141">
        <v>0.3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48EB0"/>
  </sheetPr>
  <dimension ref="A1:AA141"/>
  <sheetViews>
    <sheetView showGridLines="0" tabSelected="1" zoomScale="110" zoomScaleNormal="110" workbookViewId="0"/>
  </sheetViews>
  <sheetFormatPr defaultColWidth="13.42578125" defaultRowHeight="12" outlineLevelRow="1"/>
  <cols>
    <col min="1" max="1" width="5.42578125" style="53" customWidth="1"/>
    <col min="2" max="2" width="0.42578125" style="53" customWidth="1"/>
    <col min="3" max="3" width="43.28515625" style="53" customWidth="1"/>
    <col min="4" max="12" width="7.28515625" style="53" customWidth="1"/>
    <col min="13" max="13" width="1.28515625" style="53" customWidth="1"/>
    <col min="14" max="14" width="10.7109375" style="100" bestFit="1" customWidth="1"/>
    <col min="15" max="15" width="10.5703125" style="100" bestFit="1" customWidth="1"/>
    <col min="16" max="16" width="0.85546875" style="53" customWidth="1"/>
    <col min="17" max="17" width="10" style="53" customWidth="1"/>
    <col min="18" max="18" width="2.42578125" style="53" customWidth="1"/>
    <col min="19" max="19" width="3.42578125" style="53" customWidth="1"/>
    <col min="20" max="24" width="7" style="53" customWidth="1"/>
    <col min="25" max="25" width="6.85546875" style="53" customWidth="1"/>
    <col min="26" max="16384" width="13.42578125" style="53"/>
  </cols>
  <sheetData>
    <row r="1" spans="2:20">
      <c r="Q1" s="54"/>
      <c r="R1" s="54"/>
      <c r="S1" s="54"/>
      <c r="T1" s="55"/>
    </row>
    <row r="2" spans="2:20">
      <c r="B2" s="19"/>
      <c r="C2" s="19"/>
      <c r="D2" s="90" t="s">
        <v>6</v>
      </c>
      <c r="E2" s="90"/>
      <c r="F2" s="90"/>
      <c r="G2" s="90"/>
      <c r="H2" s="91" t="s">
        <v>9</v>
      </c>
      <c r="I2" s="91"/>
      <c r="J2" s="91"/>
      <c r="K2" s="91"/>
      <c r="L2" s="91"/>
      <c r="M2" s="18"/>
      <c r="N2" s="16" t="s">
        <v>8</v>
      </c>
      <c r="O2" s="16" t="s">
        <v>8</v>
      </c>
      <c r="P2" s="56"/>
      <c r="Q2" s="57"/>
      <c r="R2" s="54"/>
      <c r="S2" s="54"/>
      <c r="T2" s="55"/>
    </row>
    <row r="3" spans="2:20" ht="14.25" customHeight="1">
      <c r="B3" s="17"/>
      <c r="C3" s="17"/>
      <c r="D3" s="15">
        <f t="shared" ref="D3:E3" si="0">E3-1</f>
        <v>2014</v>
      </c>
      <c r="E3" s="15">
        <f t="shared" si="0"/>
        <v>2015</v>
      </c>
      <c r="F3" s="15">
        <f>G3-1</f>
        <v>2016</v>
      </c>
      <c r="G3" s="15">
        <f>Input!C4</f>
        <v>2017</v>
      </c>
      <c r="H3" s="58">
        <f>G3+1</f>
        <v>2018</v>
      </c>
      <c r="I3" s="58">
        <f>H3+1</f>
        <v>2019</v>
      </c>
      <c r="J3" s="58">
        <f t="shared" ref="J3:L3" si="1">I3+1</f>
        <v>2020</v>
      </c>
      <c r="K3" s="58">
        <f t="shared" si="1"/>
        <v>2021</v>
      </c>
      <c r="L3" s="58">
        <f t="shared" si="1"/>
        <v>2022</v>
      </c>
      <c r="M3" s="16"/>
      <c r="N3" s="15" t="str">
        <f>D3&amp;"-"&amp;G3&amp;"A"</f>
        <v>2014-2017A</v>
      </c>
      <c r="O3" s="15" t="str">
        <f>H3&amp;"-"&amp;L3&amp;"E"</f>
        <v>2018-2022E</v>
      </c>
      <c r="P3" s="58"/>
      <c r="Q3" s="57"/>
      <c r="R3" s="54"/>
      <c r="S3" s="54"/>
      <c r="T3" s="55"/>
    </row>
    <row r="4" spans="2:20" s="59" customFormat="1" ht="5.25">
      <c r="B4" s="41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101"/>
      <c r="O4" s="101"/>
      <c r="P4" s="42"/>
      <c r="Q4" s="43"/>
      <c r="R4" s="60"/>
      <c r="S4" s="60"/>
      <c r="T4" s="61"/>
    </row>
    <row r="5" spans="2:20">
      <c r="B5" s="31"/>
      <c r="C5" s="31" t="s">
        <v>56</v>
      </c>
      <c r="D5" s="30">
        <v>2955.3</v>
      </c>
      <c r="E5" s="30">
        <v>3568.1</v>
      </c>
      <c r="F5" s="30">
        <v>4102.3</v>
      </c>
      <c r="G5" s="30">
        <v>4662.6000000000004</v>
      </c>
      <c r="H5" s="30">
        <f>G5*(1+H6)</f>
        <v>5035.6080000000011</v>
      </c>
      <c r="I5" s="30">
        <f t="shared" ref="I5:L5" si="2">H5*(1+I6)</f>
        <v>5388.1005600000017</v>
      </c>
      <c r="J5" s="30">
        <f t="shared" si="2"/>
        <v>5711.386593600002</v>
      </c>
      <c r="K5" s="30">
        <f t="shared" si="2"/>
        <v>5996.955923280002</v>
      </c>
      <c r="L5" s="30">
        <f t="shared" si="2"/>
        <v>6236.8341602112023</v>
      </c>
      <c r="M5" s="30"/>
      <c r="N5" s="32">
        <f>(G5/D5)^(1/3)-1</f>
        <v>0.16414978383876488</v>
      </c>
      <c r="O5" s="32">
        <f>(L5/H5)^(1/4)-1</f>
        <v>5.4940754501044742E-2</v>
      </c>
      <c r="P5" s="30"/>
      <c r="Q5" s="20"/>
      <c r="R5" s="54"/>
      <c r="S5" s="54"/>
      <c r="T5" s="55"/>
    </row>
    <row r="6" spans="2:20" s="55" customFormat="1">
      <c r="B6" s="62"/>
      <c r="C6" s="45" t="s">
        <v>59</v>
      </c>
      <c r="D6" s="32"/>
      <c r="E6" s="32">
        <f>(E5/D5)-1</f>
        <v>0.20735627516664956</v>
      </c>
      <c r="F6" s="32">
        <f>(F5/E5)-1</f>
        <v>0.14971553487850686</v>
      </c>
      <c r="G6" s="32">
        <f>(G5/F5)-1</f>
        <v>0.13658191746093662</v>
      </c>
      <c r="H6" s="104">
        <v>0.08</v>
      </c>
      <c r="I6" s="104">
        <f>H6-1%</f>
        <v>7.0000000000000007E-2</v>
      </c>
      <c r="J6" s="104">
        <f t="shared" ref="J6:L6" si="3">I6-1%</f>
        <v>6.0000000000000005E-2</v>
      </c>
      <c r="K6" s="104">
        <f t="shared" si="3"/>
        <v>0.05</v>
      </c>
      <c r="L6" s="104">
        <f t="shared" si="3"/>
        <v>0.04</v>
      </c>
      <c r="M6" s="32"/>
      <c r="N6" s="32"/>
      <c r="O6" s="32"/>
      <c r="P6" s="63"/>
      <c r="Q6" s="64"/>
      <c r="R6" s="54"/>
      <c r="S6" s="54"/>
    </row>
    <row r="7" spans="2:20" s="61" customFormat="1" ht="5.25">
      <c r="B7" s="65"/>
      <c r="C7" s="65"/>
      <c r="D7" s="51"/>
      <c r="E7" s="51"/>
      <c r="F7" s="51"/>
      <c r="G7" s="51"/>
      <c r="H7" s="66"/>
      <c r="I7" s="66"/>
      <c r="J7" s="66"/>
      <c r="K7" s="66"/>
      <c r="L7" s="66"/>
      <c r="M7" s="51"/>
      <c r="N7" s="51"/>
      <c r="O7" s="51"/>
      <c r="P7" s="67"/>
      <c r="Q7" s="68"/>
      <c r="R7" s="60"/>
      <c r="S7" s="60"/>
    </row>
    <row r="8" spans="2:20" s="55" customFormat="1">
      <c r="B8" s="31"/>
      <c r="C8" s="47" t="s">
        <v>64</v>
      </c>
      <c r="D8" s="69">
        <v>-2098.2629999999999</v>
      </c>
      <c r="E8" s="69">
        <v>-2515.5105000000003</v>
      </c>
      <c r="F8" s="69">
        <v>-2830.5870000000004</v>
      </c>
      <c r="G8" s="69">
        <v>-3310.4460000000004</v>
      </c>
      <c r="H8" s="69">
        <f>-(H5-H10)</f>
        <v>-3543.8091300000006</v>
      </c>
      <c r="I8" s="69">
        <f>-(I5-I10)</f>
        <v>-3791.875769100001</v>
      </c>
      <c r="J8" s="69">
        <f>-(J5-J10)</f>
        <v>-4019.3883152460012</v>
      </c>
      <c r="K8" s="69">
        <f>-(K5-K10)</f>
        <v>-4220.357731008301</v>
      </c>
      <c r="L8" s="69">
        <f>-(L5-L10)</f>
        <v>-4389.1720402486335</v>
      </c>
      <c r="M8" s="35"/>
      <c r="N8" s="35">
        <f>IFERROR((G8/D8)^(1/3)-1,"n.a.")</f>
        <v>0.16414978383876488</v>
      </c>
      <c r="O8" s="35">
        <f>IFERROR((L8/H8)^(1/4)-1,"n.a.")</f>
        <v>5.4940754501044742E-2</v>
      </c>
      <c r="P8" s="63"/>
      <c r="Q8" s="64"/>
      <c r="R8" s="54"/>
      <c r="S8" s="54"/>
    </row>
    <row r="9" spans="2:20" s="61" customFormat="1" ht="5.25">
      <c r="B9" s="41"/>
      <c r="C9" s="49"/>
      <c r="D9" s="70"/>
      <c r="E9" s="70"/>
      <c r="F9" s="70"/>
      <c r="G9" s="70"/>
      <c r="H9" s="70"/>
      <c r="I9" s="70"/>
      <c r="J9" s="70"/>
      <c r="K9" s="70"/>
      <c r="L9" s="70"/>
      <c r="M9" s="50"/>
      <c r="N9" s="50"/>
      <c r="O9" s="50"/>
      <c r="P9" s="67"/>
      <c r="Q9" s="68"/>
      <c r="R9" s="60"/>
      <c r="S9" s="60"/>
    </row>
    <row r="10" spans="2:20" s="55" customFormat="1">
      <c r="B10" s="115"/>
      <c r="C10" s="119" t="s">
        <v>61</v>
      </c>
      <c r="D10" s="120">
        <v>857.03700000000003</v>
      </c>
      <c r="E10" s="120">
        <v>1052.5894999999998</v>
      </c>
      <c r="F10" s="120">
        <v>1271.713</v>
      </c>
      <c r="G10" s="120">
        <v>1352.154</v>
      </c>
      <c r="H10" s="120">
        <f>H11*H5</f>
        <v>1491.7988700000003</v>
      </c>
      <c r="I10" s="120">
        <f>I11*I5</f>
        <v>1596.2247909000005</v>
      </c>
      <c r="J10" s="120">
        <f>J11*J5</f>
        <v>1691.9982783540006</v>
      </c>
      <c r="K10" s="120">
        <f>K11*K5</f>
        <v>1776.5981922717008</v>
      </c>
      <c r="L10" s="120">
        <f>L11*L5</f>
        <v>1847.6621199625688</v>
      </c>
      <c r="M10" s="103"/>
      <c r="N10" s="103">
        <f>IFERROR((G10/D10)^(1/3)-1,"n.a.")</f>
        <v>0.16414978383876488</v>
      </c>
      <c r="O10" s="103">
        <f>IFERROR((L10/H10)^(1/4)-1,"n.a.")</f>
        <v>5.4940754501044742E-2</v>
      </c>
      <c r="P10" s="121"/>
      <c r="Q10" s="64"/>
      <c r="R10" s="54"/>
      <c r="S10" s="54"/>
    </row>
    <row r="11" spans="2:20" s="55" customFormat="1">
      <c r="B11" s="62"/>
      <c r="C11" s="46" t="s">
        <v>60</v>
      </c>
      <c r="D11" s="32">
        <f>D10/D5</f>
        <v>0.28999999999999998</v>
      </c>
      <c r="E11" s="32">
        <f t="shared" ref="E11:G11" si="4">E10/E5</f>
        <v>0.29499999999999993</v>
      </c>
      <c r="F11" s="32">
        <f t="shared" si="4"/>
        <v>0.31</v>
      </c>
      <c r="G11" s="32">
        <f t="shared" si="4"/>
        <v>0.28999999999999998</v>
      </c>
      <c r="H11" s="244">
        <f>AVERAGE(D11:G11)</f>
        <v>0.29625000000000001</v>
      </c>
      <c r="I11" s="104">
        <f>H11</f>
        <v>0.29625000000000001</v>
      </c>
      <c r="J11" s="104">
        <f t="shared" ref="J11:L11" si="5">I11</f>
        <v>0.29625000000000001</v>
      </c>
      <c r="K11" s="104">
        <f t="shared" si="5"/>
        <v>0.29625000000000001</v>
      </c>
      <c r="L11" s="104">
        <f t="shared" si="5"/>
        <v>0.29625000000000001</v>
      </c>
      <c r="M11" s="32"/>
      <c r="N11" s="32"/>
      <c r="O11" s="32"/>
      <c r="P11" s="63"/>
      <c r="Q11" s="64"/>
      <c r="R11" s="54"/>
      <c r="S11" s="54"/>
    </row>
    <row r="12" spans="2:20" s="61" customFormat="1" ht="5.25">
      <c r="B12" s="65"/>
      <c r="C12" s="65"/>
      <c r="D12" s="51"/>
      <c r="E12" s="51"/>
      <c r="F12" s="51"/>
      <c r="G12" s="51"/>
      <c r="H12" s="66"/>
      <c r="I12" s="66"/>
      <c r="J12" s="66"/>
      <c r="K12" s="66"/>
      <c r="L12" s="66"/>
      <c r="M12" s="51"/>
      <c r="N12" s="51"/>
      <c r="O12" s="51"/>
      <c r="P12" s="67"/>
      <c r="Q12" s="68"/>
      <c r="R12" s="60"/>
      <c r="S12" s="60"/>
    </row>
    <row r="13" spans="2:20" s="55" customFormat="1">
      <c r="B13" s="31"/>
      <c r="C13" s="47" t="s">
        <v>62</v>
      </c>
      <c r="D13" s="30">
        <v>-180</v>
      </c>
      <c r="E13" s="30">
        <v>-200</v>
      </c>
      <c r="F13" s="30">
        <v>-210</v>
      </c>
      <c r="G13" s="30">
        <v>-215</v>
      </c>
      <c r="H13" s="30">
        <f>G13*(1+H14)</f>
        <v>-223.6</v>
      </c>
      <c r="I13" s="30">
        <f t="shared" ref="I13:L13" si="6">H13*(1+I14)</f>
        <v>-232.0968</v>
      </c>
      <c r="J13" s="30">
        <f t="shared" si="6"/>
        <v>-240.47549448000001</v>
      </c>
      <c r="K13" s="30">
        <f t="shared" si="6"/>
        <v>-248.7226015631916</v>
      </c>
      <c r="L13" s="30">
        <f t="shared" si="6"/>
        <v>-256.82604610277082</v>
      </c>
      <c r="M13" s="35"/>
      <c r="N13" s="35">
        <f>IFERROR((G13/D13)^(1/3)-1,"n.a.")</f>
        <v>6.1016126736148646E-2</v>
      </c>
      <c r="O13" s="35">
        <f>IFERROR((L13/H13)^(1/4)-1,"n.a.")</f>
        <v>3.5241841550752939E-2</v>
      </c>
      <c r="P13" s="63"/>
      <c r="Q13" s="64"/>
      <c r="R13" s="54"/>
      <c r="S13" s="54"/>
    </row>
    <row r="14" spans="2:20" s="55" customFormat="1">
      <c r="B14" s="62"/>
      <c r="C14" s="46" t="s">
        <v>59</v>
      </c>
      <c r="D14" s="32"/>
      <c r="E14" s="32">
        <f>(E13/D13)-1</f>
        <v>0.11111111111111116</v>
      </c>
      <c r="F14" s="32">
        <f>(F13/E13)-1</f>
        <v>5.0000000000000044E-2</v>
      </c>
      <c r="G14" s="32">
        <f>(G13/F13)-1</f>
        <v>2.3809523809523725E-2</v>
      </c>
      <c r="H14" s="244">
        <v>0.04</v>
      </c>
      <c r="I14" s="244">
        <f>H14*0.95</f>
        <v>3.7999999999999999E-2</v>
      </c>
      <c r="J14" s="244">
        <f t="shared" ref="J14:L14" si="7">I14*0.95</f>
        <v>3.61E-2</v>
      </c>
      <c r="K14" s="244">
        <f t="shared" si="7"/>
        <v>3.4294999999999999E-2</v>
      </c>
      <c r="L14" s="244">
        <f t="shared" si="7"/>
        <v>3.2580249999999998E-2</v>
      </c>
      <c r="M14" s="32"/>
      <c r="N14" s="32"/>
      <c r="O14" s="32"/>
      <c r="P14" s="63"/>
      <c r="Q14" s="64"/>
      <c r="R14" s="54"/>
      <c r="S14" s="54"/>
    </row>
    <row r="15" spans="2:20" s="75" customFormat="1">
      <c r="B15" s="62"/>
      <c r="C15" s="45" t="s">
        <v>63</v>
      </c>
      <c r="D15" s="32">
        <f>-D13/D5</f>
        <v>6.0907522078976747E-2</v>
      </c>
      <c r="E15" s="32">
        <f t="shared" ref="E15:L15" si="8">-E13/E5</f>
        <v>5.6052240688321514E-2</v>
      </c>
      <c r="F15" s="32">
        <f t="shared" si="8"/>
        <v>5.1190795407454352E-2</v>
      </c>
      <c r="G15" s="32">
        <f t="shared" si="8"/>
        <v>4.6111611547205417E-2</v>
      </c>
      <c r="H15" s="32">
        <f t="shared" si="8"/>
        <v>4.4403774082494102E-2</v>
      </c>
      <c r="I15" s="32">
        <f t="shared" si="8"/>
        <v>4.3075810745447543E-2</v>
      </c>
      <c r="J15" s="32">
        <f t="shared" si="8"/>
        <v>4.2104573125809626E-2</v>
      </c>
      <c r="K15" s="32">
        <f t="shared" si="8"/>
        <v>4.1474809010627868E-2</v>
      </c>
      <c r="L15" s="32">
        <f t="shared" si="8"/>
        <v>4.1178912170092674E-2</v>
      </c>
      <c r="M15" s="32"/>
      <c r="N15" s="32"/>
      <c r="O15" s="32"/>
      <c r="P15" s="76"/>
      <c r="Q15" s="77"/>
      <c r="R15" s="78"/>
    </row>
    <row r="16" spans="2:20" s="60" customFormat="1" ht="5.25" hidden="1" outlineLevel="1">
      <c r="B16" s="106"/>
      <c r="C16" s="106"/>
      <c r="D16" s="101"/>
      <c r="E16" s="101"/>
      <c r="F16" s="101"/>
      <c r="G16" s="101"/>
      <c r="H16" s="107"/>
      <c r="I16" s="107"/>
      <c r="J16" s="107"/>
      <c r="K16" s="107"/>
      <c r="L16" s="107"/>
      <c r="M16" s="101"/>
      <c r="N16" s="51"/>
      <c r="O16" s="51"/>
      <c r="P16" s="107"/>
      <c r="Q16" s="108"/>
    </row>
    <row r="17" spans="2:27" s="55" customFormat="1" hidden="1" outlineLevel="1">
      <c r="B17" s="44"/>
      <c r="C17" s="44" t="s">
        <v>29</v>
      </c>
      <c r="D17" s="52">
        <f>D13+D8</f>
        <v>-2278.2629999999999</v>
      </c>
      <c r="E17" s="52">
        <f t="shared" ref="E17:L17" si="9">E13+E8</f>
        <v>-2715.5105000000003</v>
      </c>
      <c r="F17" s="52">
        <f t="shared" si="9"/>
        <v>-3040.5870000000004</v>
      </c>
      <c r="G17" s="52">
        <f t="shared" si="9"/>
        <v>-3525.4460000000004</v>
      </c>
      <c r="H17" s="52">
        <f t="shared" si="9"/>
        <v>-3767.4091300000005</v>
      </c>
      <c r="I17" s="52">
        <f t="shared" si="9"/>
        <v>-4023.9725691000008</v>
      </c>
      <c r="J17" s="52">
        <f t="shared" si="9"/>
        <v>-4259.8638097260009</v>
      </c>
      <c r="K17" s="52">
        <f t="shared" si="9"/>
        <v>-4469.0803325714924</v>
      </c>
      <c r="L17" s="52">
        <f t="shared" si="9"/>
        <v>-4645.9980863514047</v>
      </c>
      <c r="M17" s="52"/>
      <c r="N17" s="110">
        <f>(G17/D17)^(1/3)-1</f>
        <v>0.15665383803192956</v>
      </c>
      <c r="O17" s="110">
        <f>(L17/H17)^(1/4)-1</f>
        <v>5.3802101147374159E-2</v>
      </c>
      <c r="P17" s="52"/>
      <c r="Q17" s="20"/>
      <c r="R17" s="54"/>
      <c r="S17" s="54"/>
    </row>
    <row r="18" spans="2:27" s="55" customFormat="1" hidden="1" outlineLevel="1">
      <c r="B18" s="62"/>
      <c r="C18" s="46" t="s">
        <v>59</v>
      </c>
      <c r="D18" s="32"/>
      <c r="E18" s="32">
        <f>(E17/D17)-1</f>
        <v>0.19192143312690435</v>
      </c>
      <c r="F18" s="32">
        <f>(F17/E17)-1</f>
        <v>0.11971100829843961</v>
      </c>
      <c r="G18" s="32">
        <f>(G17/F17)-1</f>
        <v>0.15946230119381544</v>
      </c>
      <c r="H18" s="32">
        <f t="shared" ref="H18:L18" si="10">(H17/G17)-1</f>
        <v>6.8633338874003469E-2</v>
      </c>
      <c r="I18" s="32">
        <f t="shared" si="10"/>
        <v>6.8100763746888449E-2</v>
      </c>
      <c r="J18" s="32">
        <f t="shared" si="10"/>
        <v>5.8621483266909857E-2</v>
      </c>
      <c r="K18" s="32">
        <f t="shared" si="10"/>
        <v>4.9113429957036159E-2</v>
      </c>
      <c r="L18" s="32">
        <f t="shared" si="10"/>
        <v>3.9587060561543819E-2</v>
      </c>
      <c r="M18" s="32"/>
      <c r="N18" s="32"/>
      <c r="O18" s="32"/>
      <c r="P18" s="63"/>
      <c r="Q18" s="64"/>
      <c r="R18" s="54"/>
      <c r="S18" s="54"/>
    </row>
    <row r="19" spans="2:27" s="61" customFormat="1" ht="5.25" collapsed="1">
      <c r="B19" s="41"/>
      <c r="C19" s="41"/>
      <c r="D19" s="42"/>
      <c r="E19" s="42"/>
      <c r="F19" s="42"/>
      <c r="G19" s="42"/>
      <c r="H19" s="73"/>
      <c r="I19" s="73"/>
      <c r="J19" s="73"/>
      <c r="K19" s="73"/>
      <c r="L19" s="73"/>
      <c r="M19" s="42"/>
      <c r="N19" s="50"/>
      <c r="O19" s="50"/>
      <c r="P19" s="73"/>
      <c r="Q19" s="68"/>
      <c r="R19" s="60"/>
      <c r="S19" s="60"/>
    </row>
    <row r="20" spans="2:27" s="55" customFormat="1">
      <c r="B20" s="92"/>
      <c r="C20" s="92" t="s">
        <v>0</v>
      </c>
      <c r="D20" s="93">
        <f>D17+D5</f>
        <v>677.03700000000026</v>
      </c>
      <c r="E20" s="93">
        <f t="shared" ref="E20:L20" si="11">E17+E5</f>
        <v>852.58949999999959</v>
      </c>
      <c r="F20" s="93">
        <f t="shared" si="11"/>
        <v>1061.7129999999997</v>
      </c>
      <c r="G20" s="93">
        <f t="shared" si="11"/>
        <v>1137.154</v>
      </c>
      <c r="H20" s="93">
        <f t="shared" si="11"/>
        <v>1268.1988700000006</v>
      </c>
      <c r="I20" s="93">
        <f t="shared" si="11"/>
        <v>1364.1279909000009</v>
      </c>
      <c r="J20" s="93">
        <f t="shared" si="11"/>
        <v>1451.5227838740011</v>
      </c>
      <c r="K20" s="93">
        <f t="shared" si="11"/>
        <v>1527.8755907085097</v>
      </c>
      <c r="L20" s="93">
        <f t="shared" si="11"/>
        <v>1590.8360738597976</v>
      </c>
      <c r="M20" s="93"/>
      <c r="N20" s="102">
        <f>(G20/D20)^(1/3)-1</f>
        <v>0.1886909601363167</v>
      </c>
      <c r="O20" s="102">
        <f>(L20/H20)^(1/4)-1</f>
        <v>5.8301757022848344E-2</v>
      </c>
      <c r="P20" s="93"/>
      <c r="Q20" s="64"/>
      <c r="R20" s="54"/>
      <c r="S20" s="54"/>
    </row>
    <row r="21" spans="2:27" s="55" customFormat="1">
      <c r="B21" s="62"/>
      <c r="C21" s="46" t="s">
        <v>60</v>
      </c>
      <c r="D21" s="32">
        <f>D20/D5</f>
        <v>0.22909247792102333</v>
      </c>
      <c r="E21" s="32">
        <f>E20/E5</f>
        <v>0.23894775931167839</v>
      </c>
      <c r="F21" s="32">
        <f>F20/F5</f>
        <v>0.25880920459254558</v>
      </c>
      <c r="G21" s="32">
        <f>G20/G5</f>
        <v>0.24388838845279456</v>
      </c>
      <c r="H21" s="32">
        <f t="shared" ref="H21:L21" si="12">H20/H5</f>
        <v>0.25184622591750594</v>
      </c>
      <c r="I21" s="32">
        <f t="shared" si="12"/>
        <v>0.25317418925455254</v>
      </c>
      <c r="J21" s="32">
        <f t="shared" si="12"/>
        <v>0.25414542687419045</v>
      </c>
      <c r="K21" s="32">
        <f t="shared" si="12"/>
        <v>0.25477519098937224</v>
      </c>
      <c r="L21" s="32">
        <f t="shared" si="12"/>
        <v>0.25507108782990728</v>
      </c>
      <c r="M21" s="32"/>
      <c r="N21" s="32"/>
      <c r="O21" s="32"/>
      <c r="P21" s="34"/>
      <c r="Q21" s="64"/>
      <c r="R21" s="54"/>
      <c r="S21" s="54"/>
    </row>
    <row r="22" spans="2:27" s="61" customFormat="1" ht="5.25">
      <c r="B22" s="41"/>
      <c r="C22" s="41"/>
      <c r="D22" s="42"/>
      <c r="E22" s="42"/>
      <c r="F22" s="42"/>
      <c r="G22" s="42"/>
      <c r="H22" s="73"/>
      <c r="I22" s="73"/>
      <c r="J22" s="73"/>
      <c r="K22" s="73"/>
      <c r="L22" s="73"/>
      <c r="M22" s="42"/>
      <c r="N22" s="50"/>
      <c r="O22" s="50"/>
      <c r="P22" s="73"/>
      <c r="Q22" s="68"/>
      <c r="R22" s="60"/>
      <c r="S22" s="60"/>
    </row>
    <row r="23" spans="2:27" s="55" customFormat="1">
      <c r="B23" s="31"/>
      <c r="C23" s="31" t="s">
        <v>58</v>
      </c>
      <c r="D23" s="30">
        <v>-48.7</v>
      </c>
      <c r="E23" s="30">
        <v>-62.5</v>
      </c>
      <c r="F23" s="30">
        <v>-75</v>
      </c>
      <c r="G23" s="30">
        <v>-83.7</v>
      </c>
      <c r="H23" s="74">
        <f>-H5*H24</f>
        <v>-88.411401153663576</v>
      </c>
      <c r="I23" s="74">
        <f>-I5*I24</f>
        <v>-94.600199234420046</v>
      </c>
      <c r="J23" s="74">
        <f>-J5*J24</f>
        <v>-100.27621118848525</v>
      </c>
      <c r="K23" s="74">
        <f>-K5*K24</f>
        <v>-105.29002174790951</v>
      </c>
      <c r="L23" s="74">
        <f>-L5*L24</f>
        <v>-109.50162261782589</v>
      </c>
      <c r="M23" s="30"/>
      <c r="N23" s="35">
        <f>IFERROR((G23/D23)^(1/3)-1,"n.a.")</f>
        <v>0.19784005704310115</v>
      </c>
      <c r="O23" s="35">
        <f>IFERROR((L23/H23)^(1/4)-1,"n.a.")</f>
        <v>5.4940754501044742E-2</v>
      </c>
      <c r="P23" s="74"/>
      <c r="Q23" s="64"/>
      <c r="R23" s="54"/>
      <c r="S23" s="54"/>
    </row>
    <row r="24" spans="2:27" s="75" customFormat="1">
      <c r="B24" s="62"/>
      <c r="C24" s="45" t="s">
        <v>63</v>
      </c>
      <c r="D24" s="32">
        <f>-(D23/D5)</f>
        <v>1.6478868473589821E-2</v>
      </c>
      <c r="E24" s="32">
        <f>-(E23/E5)</f>
        <v>1.7516325215100475E-2</v>
      </c>
      <c r="F24" s="32">
        <f>-(F23/F5)</f>
        <v>1.8282426931233699E-2</v>
      </c>
      <c r="G24" s="32">
        <f>-(G23/G5)</f>
        <v>1.7951357611632995E-2</v>
      </c>
      <c r="H24" s="244">
        <f>AVERAGE(D24:G24)</f>
        <v>1.7557244557889248E-2</v>
      </c>
      <c r="I24" s="244">
        <f>H24</f>
        <v>1.7557244557889248E-2</v>
      </c>
      <c r="J24" s="244">
        <f t="shared" ref="J24:L24" si="13">I24</f>
        <v>1.7557244557889248E-2</v>
      </c>
      <c r="K24" s="244">
        <f t="shared" si="13"/>
        <v>1.7557244557889248E-2</v>
      </c>
      <c r="L24" s="244">
        <f t="shared" si="13"/>
        <v>1.7557244557889248E-2</v>
      </c>
      <c r="M24" s="32"/>
      <c r="N24" s="32"/>
      <c r="O24" s="32"/>
      <c r="P24" s="76"/>
      <c r="Q24" s="77"/>
      <c r="R24" s="78"/>
    </row>
    <row r="25" spans="2:27" s="79" customFormat="1" ht="5.25">
      <c r="B25" s="65"/>
      <c r="C25" s="65"/>
      <c r="D25" s="51"/>
      <c r="E25" s="51"/>
      <c r="F25" s="51"/>
      <c r="G25" s="51"/>
      <c r="H25" s="80"/>
      <c r="I25" s="80"/>
      <c r="J25" s="80"/>
      <c r="K25" s="80"/>
      <c r="L25" s="80"/>
      <c r="M25" s="51"/>
      <c r="N25" s="51"/>
      <c r="O25" s="51"/>
      <c r="P25" s="81"/>
      <c r="Q25" s="82"/>
      <c r="R25" s="83"/>
    </row>
    <row r="26" spans="2:27" s="55" customFormat="1">
      <c r="B26" s="44"/>
      <c r="C26" s="44" t="s">
        <v>1</v>
      </c>
      <c r="D26" s="52">
        <f t="shared" ref="D26:L26" si="14">D20+D23</f>
        <v>628.33700000000022</v>
      </c>
      <c r="E26" s="52">
        <f t="shared" si="14"/>
        <v>790.08949999999959</v>
      </c>
      <c r="F26" s="52">
        <f t="shared" si="14"/>
        <v>986.71299999999974</v>
      </c>
      <c r="G26" s="52">
        <f t="shared" si="14"/>
        <v>1053.454</v>
      </c>
      <c r="H26" s="52">
        <f t="shared" si="14"/>
        <v>1179.7874688463371</v>
      </c>
      <c r="I26" s="52">
        <f t="shared" si="14"/>
        <v>1269.5277916655809</v>
      </c>
      <c r="J26" s="52">
        <f t="shared" si="14"/>
        <v>1351.246572685516</v>
      </c>
      <c r="K26" s="52">
        <f t="shared" si="14"/>
        <v>1422.5855689606001</v>
      </c>
      <c r="L26" s="52">
        <f t="shared" si="14"/>
        <v>1481.3344512419717</v>
      </c>
      <c r="M26" s="52"/>
      <c r="N26" s="110">
        <f>(G26/D26)^(1/3)-1</f>
        <v>0.18797594670914863</v>
      </c>
      <c r="O26" s="110">
        <f>(L26/H26)^(1/4)-1</f>
        <v>5.8552338904031664E-2</v>
      </c>
      <c r="P26" s="52"/>
      <c r="Q26" s="54"/>
      <c r="R26" s="54"/>
    </row>
    <row r="27" spans="2:27" s="61" customFormat="1" ht="5.25">
      <c r="B27" s="41"/>
      <c r="C27" s="41"/>
      <c r="D27" s="42"/>
      <c r="E27" s="42"/>
      <c r="F27" s="42"/>
      <c r="G27" s="42"/>
      <c r="H27" s="73"/>
      <c r="I27" s="73"/>
      <c r="J27" s="73"/>
      <c r="K27" s="73"/>
      <c r="L27" s="73"/>
      <c r="M27" s="42"/>
      <c r="N27" s="42"/>
      <c r="O27" s="42"/>
      <c r="P27" s="73"/>
      <c r="Q27" s="97"/>
      <c r="R27" s="60"/>
    </row>
    <row r="28" spans="2:27" s="55" customFormat="1">
      <c r="B28" s="31"/>
      <c r="C28" s="31" t="s">
        <v>57</v>
      </c>
      <c r="D28" s="30">
        <v>-118.65000000000008</v>
      </c>
      <c r="E28" s="30">
        <v>-137.54999999999998</v>
      </c>
      <c r="F28" s="30">
        <v>-150.87000000000003</v>
      </c>
      <c r="G28" s="30">
        <v>-164.25000000000006</v>
      </c>
      <c r="H28" s="30">
        <f>WACC!$D$20*-H26</f>
        <v>-353.93624065390111</v>
      </c>
      <c r="I28" s="30">
        <f>WACC!$D$20*-I26</f>
        <v>-380.85833749967429</v>
      </c>
      <c r="J28" s="30">
        <f>WACC!$D$20*-J26</f>
        <v>-405.37397180565478</v>
      </c>
      <c r="K28" s="30">
        <f>WACC!$D$20*-K26</f>
        <v>-426.77567068818001</v>
      </c>
      <c r="L28" s="30">
        <f>WACC!$D$20*-L26</f>
        <v>-444.40033537259148</v>
      </c>
      <c r="M28" s="30"/>
      <c r="N28" s="35">
        <f>IFERROR((G28/D28)^(1/3)-1,"n.a.")</f>
        <v>0.11449779067370458</v>
      </c>
      <c r="O28" s="35">
        <f>IFERROR((L28/H28)^(1/4)-1,"n.a.")</f>
        <v>5.8552338904031664E-2</v>
      </c>
      <c r="P28" s="30"/>
      <c r="Q28" s="21"/>
      <c r="R28" s="54"/>
    </row>
    <row r="29" spans="2:27" s="61" customFormat="1" ht="5.25">
      <c r="B29" s="41"/>
      <c r="C29" s="41"/>
      <c r="D29" s="42"/>
      <c r="E29" s="96"/>
      <c r="F29" s="96"/>
      <c r="G29" s="96"/>
      <c r="H29" s="42"/>
      <c r="I29" s="42"/>
      <c r="J29" s="42"/>
      <c r="K29" s="42"/>
      <c r="L29" s="42"/>
      <c r="M29" s="96"/>
      <c r="N29" s="42"/>
      <c r="O29" s="42"/>
      <c r="P29" s="42"/>
      <c r="Q29" s="60"/>
      <c r="R29" s="60"/>
      <c r="S29" s="60"/>
    </row>
    <row r="30" spans="2:27" s="55" customFormat="1">
      <c r="B30" s="31"/>
      <c r="C30" s="31" t="s">
        <v>5</v>
      </c>
      <c r="D30" s="30"/>
      <c r="E30" s="30">
        <v>-78.899999999999977</v>
      </c>
      <c r="F30" s="30">
        <v>-40.899999999999977</v>
      </c>
      <c r="G30" s="30">
        <v>-168.5</v>
      </c>
      <c r="H30" s="30">
        <f>-(H31*H5)</f>
        <v>-114.51184233178174</v>
      </c>
      <c r="I30" s="30">
        <f>-(I31*I5)</f>
        <v>-122.52767129500647</v>
      </c>
      <c r="J30" s="30">
        <f>-(J31*J5)</f>
        <v>-129.87933157270686</v>
      </c>
      <c r="K30" s="30">
        <f>-(K31*K5)</f>
        <v>-136.3732981513422</v>
      </c>
      <c r="L30" s="30">
        <f>-(L31*L5)</f>
        <v>-141.82823007739589</v>
      </c>
      <c r="M30" s="30"/>
      <c r="N30" s="30" t="str">
        <f>IFERROR((G30/D30)^(1/3)-1,"n.a.")</f>
        <v>n.a.</v>
      </c>
      <c r="O30" s="30">
        <f>IFERROR((L30/H30)^(1/4)-1,"n.a.")</f>
        <v>5.4940754501044742E-2</v>
      </c>
      <c r="P30" s="30"/>
      <c r="Q30" s="85"/>
      <c r="R30" s="54"/>
      <c r="S30" s="54"/>
      <c r="T30" s="54"/>
      <c r="U30" s="260"/>
      <c r="V30" s="260"/>
      <c r="W30" s="260"/>
      <c r="X30" s="260"/>
      <c r="Y30" s="260"/>
      <c r="Z30" s="54"/>
      <c r="AA30" s="54"/>
    </row>
    <row r="31" spans="2:27" s="55" customFormat="1">
      <c r="B31" s="62"/>
      <c r="C31" s="45" t="s">
        <v>63</v>
      </c>
      <c r="D31" s="30"/>
      <c r="E31" s="32">
        <f>-E30/E5</f>
        <v>2.2112608951542833E-2</v>
      </c>
      <c r="F31" s="32">
        <f>-F30/F5</f>
        <v>9.9700168198327711E-3</v>
      </c>
      <c r="G31" s="32">
        <f>-G30/G5</f>
        <v>3.6138635096298201E-2</v>
      </c>
      <c r="H31" s="244">
        <f>AVERAGE(E31:G31)</f>
        <v>2.27404202892246E-2</v>
      </c>
      <c r="I31" s="244">
        <f>H31</f>
        <v>2.27404202892246E-2</v>
      </c>
      <c r="J31" s="244">
        <f t="shared" ref="J31:L31" si="15">I31</f>
        <v>2.27404202892246E-2</v>
      </c>
      <c r="K31" s="244">
        <f t="shared" si="15"/>
        <v>2.27404202892246E-2</v>
      </c>
      <c r="L31" s="244">
        <f t="shared" si="15"/>
        <v>2.27404202892246E-2</v>
      </c>
      <c r="M31" s="32"/>
      <c r="N31" s="32"/>
      <c r="O31" s="32"/>
      <c r="P31" s="34"/>
      <c r="Q31" s="64"/>
      <c r="R31" s="54"/>
      <c r="S31" s="86"/>
      <c r="T31" s="86"/>
      <c r="U31" s="64"/>
      <c r="V31" s="64"/>
      <c r="W31" s="64"/>
      <c r="X31" s="64"/>
      <c r="Y31" s="64"/>
      <c r="Z31" s="54"/>
      <c r="AA31" s="54"/>
    </row>
    <row r="32" spans="2:27" s="61" customFormat="1" ht="5.25"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97"/>
      <c r="R32" s="60"/>
      <c r="S32" s="98"/>
      <c r="T32" s="68"/>
      <c r="U32" s="99"/>
      <c r="V32" s="99"/>
      <c r="W32" s="99"/>
      <c r="X32" s="99"/>
      <c r="Y32" s="99"/>
      <c r="Z32" s="60"/>
      <c r="AA32" s="60"/>
    </row>
    <row r="33" spans="1:27" s="55" customFormat="1" hidden="1" outlineLevel="1">
      <c r="A33" s="54"/>
      <c r="B33" s="31"/>
      <c r="C33" s="31" t="s">
        <v>20</v>
      </c>
      <c r="D33" s="30">
        <v>150</v>
      </c>
      <c r="E33" s="30">
        <v>175</v>
      </c>
      <c r="F33" s="30">
        <v>180</v>
      </c>
      <c r="G33" s="30">
        <v>182</v>
      </c>
      <c r="H33" s="30">
        <f>H34*H5</f>
        <v>196.56</v>
      </c>
      <c r="I33" s="30">
        <f t="shared" ref="I33:L33" si="16">I34*I5</f>
        <v>210.31920000000002</v>
      </c>
      <c r="J33" s="30">
        <f t="shared" si="16"/>
        <v>222.93835200000004</v>
      </c>
      <c r="K33" s="30">
        <f t="shared" si="16"/>
        <v>234.08526960000003</v>
      </c>
      <c r="L33" s="30">
        <f t="shared" si="16"/>
        <v>243.44868038400006</v>
      </c>
      <c r="M33" s="30"/>
      <c r="N33" s="30"/>
      <c r="O33" s="30"/>
      <c r="P33" s="36"/>
      <c r="Q33" s="20"/>
      <c r="R33" s="54"/>
      <c r="S33" s="54"/>
      <c r="T33" s="54"/>
    </row>
    <row r="34" spans="1:27" s="55" customFormat="1" hidden="1" outlineLevel="1">
      <c r="A34" s="54"/>
      <c r="B34" s="62"/>
      <c r="C34" s="45" t="s">
        <v>63</v>
      </c>
      <c r="D34" s="32">
        <f>D33/D5</f>
        <v>5.0756268399147292E-2</v>
      </c>
      <c r="E34" s="32">
        <f>E33/E5</f>
        <v>4.9045710602281328E-2</v>
      </c>
      <c r="F34" s="32">
        <f>F33/F5</f>
        <v>4.3877824634960871E-2</v>
      </c>
      <c r="G34" s="32">
        <f>G33/G5</f>
        <v>3.9034015356239002E-2</v>
      </c>
      <c r="H34" s="244">
        <f>G34</f>
        <v>3.9034015356239002E-2</v>
      </c>
      <c r="I34" s="244">
        <f>H34</f>
        <v>3.9034015356239002E-2</v>
      </c>
      <c r="J34" s="244">
        <f t="shared" ref="J34:L34" si="17">I34</f>
        <v>3.9034015356239002E-2</v>
      </c>
      <c r="K34" s="244">
        <f t="shared" si="17"/>
        <v>3.9034015356239002E-2</v>
      </c>
      <c r="L34" s="244">
        <f t="shared" si="17"/>
        <v>3.9034015356239002E-2</v>
      </c>
      <c r="M34" s="33"/>
      <c r="N34" s="30"/>
      <c r="O34" s="30"/>
      <c r="P34" s="33"/>
      <c r="Q34" s="20"/>
      <c r="R34" s="54"/>
      <c r="S34" s="54"/>
      <c r="T34" s="54"/>
    </row>
    <row r="35" spans="1:27" s="61" customFormat="1" ht="5.25" hidden="1" outlineLevel="1">
      <c r="A35" s="60"/>
      <c r="B35" s="65"/>
      <c r="C35" s="65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42"/>
      <c r="O35" s="42"/>
      <c r="P35" s="101"/>
      <c r="Q35" s="43"/>
      <c r="R35" s="60"/>
      <c r="S35" s="60"/>
      <c r="T35" s="60"/>
    </row>
    <row r="36" spans="1:27" s="55" customFormat="1" collapsed="1">
      <c r="B36" s="31"/>
      <c r="C36" s="31" t="s">
        <v>21</v>
      </c>
      <c r="D36" s="37"/>
      <c r="E36" s="30">
        <f t="shared" ref="E36:L36" si="18">D33-E33</f>
        <v>-25</v>
      </c>
      <c r="F36" s="30">
        <f t="shared" si="18"/>
        <v>-5</v>
      </c>
      <c r="G36" s="30">
        <f t="shared" si="18"/>
        <v>-2</v>
      </c>
      <c r="H36" s="30">
        <f t="shared" si="18"/>
        <v>-14.560000000000002</v>
      </c>
      <c r="I36" s="30">
        <f t="shared" si="18"/>
        <v>-13.759200000000021</v>
      </c>
      <c r="J36" s="30">
        <f t="shared" si="18"/>
        <v>-12.619152000000014</v>
      </c>
      <c r="K36" s="30">
        <f t="shared" si="18"/>
        <v>-11.146917599999995</v>
      </c>
      <c r="L36" s="30">
        <f t="shared" si="18"/>
        <v>-9.363410784000024</v>
      </c>
      <c r="M36" s="36"/>
      <c r="N36" s="36"/>
      <c r="O36" s="36"/>
      <c r="P36" s="36"/>
      <c r="Q36" s="54"/>
      <c r="R36" s="54"/>
      <c r="S36" s="26"/>
      <c r="T36" s="64"/>
      <c r="U36" s="85"/>
      <c r="V36" s="85"/>
      <c r="W36" s="85"/>
      <c r="X36" s="85"/>
      <c r="Y36" s="85"/>
      <c r="Z36" s="54"/>
      <c r="AA36" s="54"/>
    </row>
    <row r="37" spans="1:27" s="61" customFormat="1" ht="5.25"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3"/>
      <c r="R37" s="60"/>
      <c r="S37" s="98"/>
      <c r="T37" s="68"/>
      <c r="U37" s="99"/>
      <c r="V37" s="99"/>
      <c r="W37" s="109"/>
      <c r="X37" s="99"/>
      <c r="Y37" s="99"/>
      <c r="Z37" s="60"/>
      <c r="AA37" s="60"/>
    </row>
    <row r="38" spans="1:27" s="55" customFormat="1">
      <c r="B38" s="92"/>
      <c r="C38" s="92" t="s">
        <v>22</v>
      </c>
      <c r="D38" s="122"/>
      <c r="E38" s="122">
        <f t="shared" ref="E38:L38" si="19">E20+E28+E30+E36</f>
        <v>611.13949999999966</v>
      </c>
      <c r="F38" s="122">
        <f t="shared" si="19"/>
        <v>864.94299999999976</v>
      </c>
      <c r="G38" s="122">
        <f t="shared" si="19"/>
        <v>802.404</v>
      </c>
      <c r="H38" s="122">
        <f t="shared" si="19"/>
        <v>785.19078701431772</v>
      </c>
      <c r="I38" s="122">
        <f t="shared" si="19"/>
        <v>846.98278210532021</v>
      </c>
      <c r="J38" s="122">
        <f t="shared" si="19"/>
        <v>903.65032849563954</v>
      </c>
      <c r="K38" s="122">
        <f t="shared" si="19"/>
        <v>953.57970426898737</v>
      </c>
      <c r="L38" s="122">
        <f t="shared" si="19"/>
        <v>995.24409762581001</v>
      </c>
      <c r="M38" s="122"/>
      <c r="N38" s="122"/>
      <c r="O38" s="122"/>
      <c r="P38" s="122"/>
      <c r="Q38" s="20"/>
      <c r="R38" s="54"/>
      <c r="S38" s="26"/>
      <c r="T38" s="64"/>
      <c r="U38" s="85"/>
      <c r="V38" s="85"/>
      <c r="W38" s="85"/>
      <c r="X38" s="85"/>
      <c r="Y38" s="85"/>
      <c r="Z38" s="54"/>
      <c r="AA38" s="54"/>
    </row>
    <row r="39" spans="1:27" s="61" customFormat="1" ht="5.25" hidden="1" outlineLevel="1"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3"/>
      <c r="R39" s="60"/>
      <c r="S39" s="98"/>
      <c r="T39" s="68"/>
      <c r="U39" s="99"/>
      <c r="V39" s="99"/>
      <c r="W39" s="99"/>
      <c r="X39" s="99"/>
      <c r="Y39" s="99"/>
      <c r="Z39" s="60"/>
      <c r="AA39" s="60"/>
    </row>
    <row r="40" spans="1:27" s="55" customFormat="1" hidden="1" outlineLevel="1">
      <c r="B40" s="31"/>
      <c r="C40" s="31" t="s">
        <v>2</v>
      </c>
      <c r="D40" s="38"/>
      <c r="E40" s="30"/>
      <c r="F40" s="30"/>
      <c r="G40" s="30"/>
      <c r="H40" s="35">
        <f>WACC</f>
        <v>0.10287001899076073</v>
      </c>
      <c r="I40" s="35">
        <f>WACC</f>
        <v>0.10287001899076073</v>
      </c>
      <c r="J40" s="35">
        <f>WACC</f>
        <v>0.10287001899076073</v>
      </c>
      <c r="K40" s="35">
        <f>WACC</f>
        <v>0.10287001899076073</v>
      </c>
      <c r="L40" s="35">
        <f>WACC</f>
        <v>0.10287001899076073</v>
      </c>
      <c r="M40" s="30"/>
      <c r="N40" s="30"/>
      <c r="O40" s="30"/>
      <c r="P40" s="30"/>
      <c r="Q40" s="21"/>
      <c r="R40" s="54"/>
      <c r="S40" s="54"/>
      <c r="T40" s="54"/>
      <c r="U40" s="54"/>
      <c r="V40" s="54"/>
      <c r="W40" s="54"/>
      <c r="X40" s="54"/>
      <c r="Y40" s="54"/>
      <c r="Z40" s="54"/>
      <c r="AA40" s="54"/>
    </row>
    <row r="41" spans="1:27" s="55" customFormat="1" hidden="1" outlineLevel="1">
      <c r="B41" s="31"/>
      <c r="C41" s="31" t="s">
        <v>14</v>
      </c>
      <c r="D41" s="30"/>
      <c r="E41" s="30"/>
      <c r="F41" s="30"/>
      <c r="G41" s="30"/>
      <c r="H41" s="114">
        <v>0.5</v>
      </c>
      <c r="I41" s="39">
        <f>H41+1</f>
        <v>1.5</v>
      </c>
      <c r="J41" s="39">
        <f>I41+1</f>
        <v>2.5</v>
      </c>
      <c r="K41" s="39">
        <f>J41+1</f>
        <v>3.5</v>
      </c>
      <c r="L41" s="39">
        <f>K41+1</f>
        <v>4.5</v>
      </c>
      <c r="M41" s="30"/>
      <c r="N41" s="30"/>
      <c r="O41" s="30"/>
      <c r="P41" s="39"/>
      <c r="Q41" s="20"/>
      <c r="R41" s="54"/>
      <c r="S41" s="54"/>
      <c r="T41" s="54"/>
      <c r="U41" s="54"/>
      <c r="V41" s="54"/>
      <c r="W41" s="54"/>
      <c r="X41" s="54"/>
      <c r="Y41" s="54"/>
      <c r="Z41" s="54"/>
      <c r="AA41" s="54"/>
    </row>
    <row r="42" spans="1:27" s="55" customFormat="1" hidden="1" outlineLevel="1">
      <c r="B42" s="31"/>
      <c r="C42" s="31" t="s">
        <v>15</v>
      </c>
      <c r="D42" s="30"/>
      <c r="E42" s="30"/>
      <c r="F42" s="30"/>
      <c r="G42" s="30"/>
      <c r="H42" s="40">
        <f>1/((1+H40)^H41)</f>
        <v>0.9522211744399135</v>
      </c>
      <c r="I42" s="40">
        <f>1/((1+I40)^I41)</f>
        <v>0.86340290155978083</v>
      </c>
      <c r="J42" s="40">
        <f>1/((1+J40)^J41)</f>
        <v>0.78286913842293315</v>
      </c>
      <c r="K42" s="40">
        <f>1/((1+K40)^K41)</f>
        <v>0.70984714875043831</v>
      </c>
      <c r="L42" s="40">
        <f>1/((1+L40)^L41)</f>
        <v>0.6436362731122397</v>
      </c>
      <c r="M42" s="30"/>
      <c r="N42" s="30"/>
      <c r="O42" s="30"/>
      <c r="P42" s="40"/>
      <c r="Q42" s="20"/>
      <c r="R42" s="54"/>
      <c r="S42" s="54"/>
      <c r="T42" s="54"/>
      <c r="U42" s="54"/>
      <c r="V42" s="54"/>
      <c r="W42" s="54"/>
      <c r="X42" s="54"/>
      <c r="Y42" s="54"/>
      <c r="Z42" s="54"/>
      <c r="AA42" s="54"/>
    </row>
    <row r="43" spans="1:27" s="55" customFormat="1" ht="12.75" hidden="1" outlineLevel="1" thickBot="1">
      <c r="B43" s="94"/>
      <c r="C43" s="94" t="s">
        <v>7</v>
      </c>
      <c r="D43" s="95"/>
      <c r="E43" s="95"/>
      <c r="F43" s="95"/>
      <c r="G43" s="95"/>
      <c r="H43" s="95">
        <f>H42*H38</f>
        <v>747.67529337017356</v>
      </c>
      <c r="I43" s="95">
        <f>I42*I38</f>
        <v>731.28739164090905</v>
      </c>
      <c r="J43" s="95">
        <f>J42*J38</f>
        <v>707.43995410498189</v>
      </c>
      <c r="K43" s="95">
        <f>K42*K38</f>
        <v>676.89583418162681</v>
      </c>
      <c r="L43" s="95">
        <f>L42*L38</f>
        <v>640.57520183283043</v>
      </c>
      <c r="M43" s="95"/>
      <c r="N43" s="95"/>
      <c r="O43" s="95"/>
      <c r="P43" s="95"/>
      <c r="Q43" s="20"/>
      <c r="R43" s="54"/>
      <c r="S43" s="26"/>
      <c r="T43" s="64"/>
      <c r="U43" s="85"/>
      <c r="V43" s="85"/>
      <c r="W43" s="85"/>
      <c r="X43" s="85"/>
      <c r="Y43" s="85"/>
      <c r="Z43" s="54"/>
      <c r="AA43" s="54"/>
    </row>
    <row r="44" spans="1:27" s="55" customFormat="1" collapsed="1">
      <c r="B44" s="31"/>
      <c r="C44" s="31"/>
      <c r="D44" s="30"/>
      <c r="E44" s="30"/>
      <c r="F44" s="30"/>
      <c r="G44" s="30"/>
      <c r="H44" s="36"/>
      <c r="I44" s="36"/>
      <c r="J44" s="36"/>
      <c r="K44" s="36"/>
      <c r="L44" s="36"/>
      <c r="M44" s="30"/>
      <c r="N44" s="30"/>
      <c r="O44" s="30"/>
      <c r="P44" s="36"/>
      <c r="Q44" s="20"/>
      <c r="R44" s="54"/>
      <c r="Z44" s="54"/>
      <c r="AA44" s="54"/>
    </row>
    <row r="45" spans="1:27" s="55" customFormat="1">
      <c r="A45" s="54"/>
      <c r="B45" s="142"/>
      <c r="C45" s="142"/>
      <c r="D45" s="142"/>
      <c r="E45" s="132"/>
      <c r="F45" s="143"/>
      <c r="G45" s="143"/>
      <c r="H45" s="143"/>
      <c r="I45" s="143"/>
      <c r="J45" s="143"/>
      <c r="K45" s="143"/>
      <c r="L45" s="143"/>
      <c r="M45" s="25"/>
      <c r="N45" s="20"/>
      <c r="O45" s="20"/>
      <c r="P45" s="25"/>
      <c r="Q45" s="20"/>
      <c r="R45" s="54"/>
    </row>
    <row r="46" spans="1:27" s="55" customFormat="1">
      <c r="B46" s="144"/>
      <c r="C46" s="144" t="s">
        <v>70</v>
      </c>
      <c r="D46" s="144"/>
      <c r="E46" s="30"/>
      <c r="F46" s="129" t="s">
        <v>28</v>
      </c>
      <c r="G46" s="131"/>
      <c r="H46" s="134">
        <f>G3</f>
        <v>2017</v>
      </c>
      <c r="I46" s="133">
        <f>H3</f>
        <v>2018</v>
      </c>
      <c r="J46" s="133">
        <f>I3</f>
        <v>2019</v>
      </c>
      <c r="K46" s="133">
        <f>J3</f>
        <v>2020</v>
      </c>
      <c r="L46" s="133">
        <f>K3</f>
        <v>2021</v>
      </c>
      <c r="M46" s="30"/>
      <c r="N46" s="30"/>
      <c r="O46" s="30"/>
      <c r="P46" s="36"/>
      <c r="Q46" s="20"/>
      <c r="R46" s="54"/>
      <c r="Z46" s="54"/>
      <c r="AA46" s="54"/>
    </row>
    <row r="47" spans="1:27" s="55" customFormat="1">
      <c r="B47" s="154"/>
      <c r="C47" s="256" t="s">
        <v>73</v>
      </c>
      <c r="D47" s="120">
        <f>SUM(DCF!H43:L43)+DCF!D69</f>
        <v>11011.639016608668</v>
      </c>
      <c r="E47" s="30"/>
      <c r="F47" s="154" t="s">
        <v>3</v>
      </c>
      <c r="G47" s="154"/>
      <c r="H47" s="160">
        <f>EV/G5</f>
        <v>2.3616949806135348</v>
      </c>
      <c r="I47" s="160">
        <f>EV/H5</f>
        <v>2.1867546116791985</v>
      </c>
      <c r="J47" s="160">
        <f>EV/I5</f>
        <v>2.043695898765606</v>
      </c>
      <c r="K47" s="160">
        <f>EV/J5</f>
        <v>1.9280149988354771</v>
      </c>
      <c r="L47" s="160">
        <f>EV/K5</f>
        <v>1.8362047607956926</v>
      </c>
      <c r="M47" s="30"/>
      <c r="N47" s="30"/>
      <c r="O47" s="30"/>
      <c r="P47" s="36"/>
      <c r="Q47" s="20"/>
      <c r="R47" s="54"/>
    </row>
    <row r="48" spans="1:27" s="55" customFormat="1" hidden="1" outlineLevel="1">
      <c r="B48" s="156"/>
      <c r="C48" s="165" t="s">
        <v>27</v>
      </c>
      <c r="D48" s="157">
        <v>400</v>
      </c>
      <c r="E48" s="30"/>
      <c r="F48" s="167" t="s">
        <v>75</v>
      </c>
      <c r="G48" s="154"/>
      <c r="H48" s="160"/>
      <c r="I48" s="160"/>
      <c r="J48" s="160"/>
      <c r="K48" s="160"/>
      <c r="L48" s="160"/>
      <c r="M48" s="30"/>
      <c r="N48" s="30"/>
      <c r="O48" s="30"/>
      <c r="P48" s="36"/>
      <c r="Q48" s="20"/>
      <c r="R48" s="54"/>
    </row>
    <row r="49" spans="1:26" s="55" customFormat="1" hidden="1" outlineLevel="1">
      <c r="B49" s="156"/>
      <c r="C49" s="165" t="s">
        <v>26</v>
      </c>
      <c r="D49" s="157">
        <v>200</v>
      </c>
      <c r="E49" s="30"/>
      <c r="F49" s="167" t="s">
        <v>75</v>
      </c>
      <c r="G49" s="154"/>
      <c r="H49" s="160"/>
      <c r="I49" s="160"/>
      <c r="J49" s="160"/>
      <c r="K49" s="160"/>
      <c r="L49" s="160"/>
      <c r="M49" s="30"/>
      <c r="N49" s="30"/>
      <c r="O49" s="30"/>
      <c r="P49" s="36"/>
      <c r="Q49" s="20"/>
      <c r="R49" s="54"/>
    </row>
    <row r="50" spans="1:26" s="55" customFormat="1" hidden="1" outlineLevel="1">
      <c r="B50" s="154"/>
      <c r="C50" s="166" t="s">
        <v>71</v>
      </c>
      <c r="D50" s="116">
        <f>D48-D49</f>
        <v>200</v>
      </c>
      <c r="E50" s="30"/>
      <c r="F50" s="167" t="s">
        <v>75</v>
      </c>
      <c r="G50" s="161"/>
      <c r="H50" s="161"/>
      <c r="I50" s="161"/>
      <c r="J50" s="161"/>
      <c r="K50" s="161"/>
      <c r="L50" s="161"/>
      <c r="M50" s="30"/>
      <c r="N50" s="30"/>
      <c r="O50" s="30"/>
      <c r="P50" s="36"/>
      <c r="Q50" s="20"/>
      <c r="R50" s="54"/>
    </row>
    <row r="51" spans="1:26" s="55" customFormat="1" collapsed="1">
      <c r="B51" s="154"/>
      <c r="C51" s="154" t="s">
        <v>74</v>
      </c>
      <c r="D51" s="155">
        <f>D47-D50</f>
        <v>10811.639016608668</v>
      </c>
      <c r="E51" s="30"/>
      <c r="F51" s="154" t="s">
        <v>0</v>
      </c>
      <c r="G51" s="154"/>
      <c r="H51" s="160">
        <f>EV/G20</f>
        <v>9.6835072616450084</v>
      </c>
      <c r="I51" s="160">
        <f>EV/H20</f>
        <v>8.6828960954748862</v>
      </c>
      <c r="J51" s="160">
        <f>EV/I20</f>
        <v>8.0722916691589894</v>
      </c>
      <c r="K51" s="160">
        <f>EV/J20</f>
        <v>7.5862667392787744</v>
      </c>
      <c r="L51" s="160">
        <f>EV/K20</f>
        <v>7.2071568415477643</v>
      </c>
      <c r="M51" s="30"/>
      <c r="N51" s="30"/>
      <c r="O51" s="30"/>
      <c r="P51" s="36"/>
      <c r="Q51" s="20"/>
      <c r="R51" s="54"/>
    </row>
    <row r="52" spans="1:26" s="55" customFormat="1" hidden="1" outlineLevel="1">
      <c r="B52" s="156"/>
      <c r="C52" s="165" t="s">
        <v>23</v>
      </c>
      <c r="D52" s="116">
        <v>10000</v>
      </c>
      <c r="E52" s="30"/>
      <c r="F52" s="167" t="s">
        <v>75</v>
      </c>
      <c r="G52" s="161"/>
      <c r="H52" s="161"/>
      <c r="I52" s="161"/>
      <c r="J52" s="161"/>
      <c r="K52" s="161"/>
      <c r="L52" s="161"/>
      <c r="M52" s="30"/>
      <c r="N52" s="30"/>
      <c r="O52" s="30"/>
      <c r="P52" s="36"/>
      <c r="Q52" s="20"/>
      <c r="R52" s="54"/>
    </row>
    <row r="53" spans="1:26" s="55" customFormat="1" collapsed="1">
      <c r="B53" s="158"/>
      <c r="C53" s="158" t="s">
        <v>69</v>
      </c>
      <c r="D53" s="159">
        <f>D51/D52</f>
        <v>1.0811639016608667</v>
      </c>
      <c r="E53" s="30"/>
      <c r="F53" s="158" t="s">
        <v>1</v>
      </c>
      <c r="G53" s="158"/>
      <c r="H53" s="162">
        <f>EV/G26</f>
        <v>10.45289022264728</v>
      </c>
      <c r="I53" s="162">
        <f>EV/H26</f>
        <v>9.3335785532427042</v>
      </c>
      <c r="J53" s="162">
        <f>EV/I26</f>
        <v>8.6738069768143795</v>
      </c>
      <c r="K53" s="162">
        <f>EV/J26</f>
        <v>8.1492447338635916</v>
      </c>
      <c r="L53" s="162">
        <f>EV/K26</f>
        <v>7.7405811340081474</v>
      </c>
      <c r="M53" s="30"/>
      <c r="N53" s="30"/>
      <c r="O53" s="30"/>
      <c r="P53" s="36"/>
      <c r="Q53" s="20"/>
      <c r="R53" s="54"/>
    </row>
    <row r="54" spans="1:26" s="55" customFormat="1">
      <c r="B54" s="131"/>
      <c r="C54" s="131"/>
      <c r="D54" s="131"/>
      <c r="E54" s="126"/>
      <c r="F54" s="129"/>
      <c r="G54" s="131"/>
      <c r="H54" s="130"/>
      <c r="I54" s="131"/>
      <c r="J54" s="130"/>
      <c r="K54" s="130"/>
      <c r="L54" s="130"/>
      <c r="M54" s="126"/>
      <c r="N54" s="126"/>
      <c r="O54" s="126"/>
      <c r="P54" s="130"/>
      <c r="Q54" s="20"/>
      <c r="R54" s="54"/>
    </row>
    <row r="55" spans="1:26" s="55" customFormat="1">
      <c r="B55" s="153" t="s">
        <v>72</v>
      </c>
      <c r="C55" s="132"/>
      <c r="D55" s="132"/>
      <c r="E55" s="30"/>
      <c r="F55" s="88"/>
      <c r="G55" s="132"/>
      <c r="H55" s="72"/>
      <c r="I55" s="132"/>
      <c r="J55" s="72"/>
      <c r="K55" s="72"/>
      <c r="L55" s="72"/>
      <c r="M55" s="30"/>
      <c r="N55" s="30"/>
      <c r="O55" s="30"/>
      <c r="P55" s="72"/>
      <c r="Q55" s="20"/>
      <c r="R55" s="54"/>
    </row>
    <row r="56" spans="1:26" s="55" customFormat="1">
      <c r="B56" s="132"/>
      <c r="C56" s="132"/>
      <c r="D56" s="132"/>
      <c r="E56" s="30"/>
      <c r="F56" s="88"/>
      <c r="G56" s="132"/>
      <c r="H56" s="72"/>
      <c r="I56" s="132"/>
      <c r="J56" s="72"/>
      <c r="K56" s="72"/>
      <c r="L56" s="72"/>
      <c r="M56" s="30"/>
      <c r="N56" s="30"/>
      <c r="O56" s="30"/>
      <c r="P56" s="72"/>
      <c r="Q56" s="20"/>
      <c r="R56" s="54"/>
    </row>
    <row r="57" spans="1:26" s="55" customFormat="1">
      <c r="A57" s="54"/>
      <c r="B57" s="127"/>
      <c r="C57" s="127"/>
      <c r="D57" s="128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20"/>
      <c r="Q57" s="20"/>
      <c r="R57" s="54"/>
      <c r="S57" s="54"/>
      <c r="T57" s="54"/>
      <c r="U57" s="54"/>
      <c r="V57" s="54"/>
      <c r="W57" s="54"/>
      <c r="X57" s="54"/>
      <c r="Y57" s="54"/>
      <c r="Z57" s="54"/>
    </row>
    <row r="58" spans="1:26" s="55" customFormat="1">
      <c r="A58" s="54"/>
      <c r="B58" s="117"/>
      <c r="C58" s="117" t="s">
        <v>16</v>
      </c>
      <c r="D58" s="126"/>
      <c r="E58" s="36"/>
      <c r="O58" s="30"/>
      <c r="P58" s="22"/>
      <c r="Q58" s="20"/>
      <c r="R58" s="54"/>
      <c r="S58" s="54"/>
      <c r="T58" s="54"/>
      <c r="U58" s="54"/>
      <c r="V58" s="54"/>
      <c r="W58" s="54"/>
      <c r="X58" s="54"/>
      <c r="Y58" s="54"/>
      <c r="Z58" s="54"/>
    </row>
    <row r="59" spans="1:26" s="55" customFormat="1">
      <c r="A59" s="54"/>
      <c r="B59" s="31"/>
      <c r="C59" s="31" t="s">
        <v>19</v>
      </c>
      <c r="D59" s="30">
        <f>L38</f>
        <v>995.24409762581001</v>
      </c>
      <c r="E59" s="35"/>
      <c r="O59" s="35"/>
      <c r="P59" s="24"/>
      <c r="Q59" s="20"/>
      <c r="R59" s="54"/>
      <c r="S59" s="54"/>
      <c r="T59" s="54"/>
      <c r="U59" s="54"/>
      <c r="V59" s="54"/>
      <c r="W59" s="54"/>
      <c r="X59" s="54"/>
      <c r="Y59" s="54"/>
      <c r="Z59" s="54"/>
    </row>
    <row r="60" spans="1:26" s="55" customFormat="1">
      <c r="A60" s="54"/>
      <c r="B60" s="31"/>
      <c r="C60" s="31" t="s">
        <v>18</v>
      </c>
      <c r="D60" s="125">
        <v>0.02</v>
      </c>
      <c r="E60" s="30"/>
      <c r="O60" s="30"/>
      <c r="P60" s="20"/>
      <c r="Q60" s="20"/>
      <c r="R60" s="54"/>
      <c r="S60" s="259"/>
      <c r="T60" s="259"/>
      <c r="U60" s="259"/>
      <c r="V60" s="259"/>
      <c r="W60" s="259"/>
      <c r="X60" s="259"/>
      <c r="Y60" s="259"/>
      <c r="Z60" s="54"/>
    </row>
    <row r="61" spans="1:26" s="61" customFormat="1" ht="5.25">
      <c r="A61" s="60"/>
      <c r="B61" s="41"/>
      <c r="C61" s="41"/>
      <c r="D61" s="251"/>
      <c r="E61" s="42"/>
      <c r="O61" s="42"/>
      <c r="P61" s="43"/>
      <c r="Q61" s="43"/>
      <c r="R61" s="60"/>
      <c r="S61" s="252"/>
      <c r="T61" s="252"/>
      <c r="U61" s="252"/>
      <c r="V61" s="252"/>
      <c r="W61" s="252"/>
      <c r="X61" s="252"/>
      <c r="Y61" s="252"/>
      <c r="Z61" s="60"/>
    </row>
    <row r="62" spans="1:26" s="55" customFormat="1">
      <c r="A62" s="54"/>
      <c r="B62" s="31"/>
      <c r="C62" s="31" t="s">
        <v>17</v>
      </c>
      <c r="D62" s="30">
        <f>L20</f>
        <v>1590.8360738597976</v>
      </c>
      <c r="E62" s="30"/>
      <c r="O62" s="30"/>
      <c r="P62" s="20"/>
      <c r="Q62" s="23"/>
      <c r="R62" s="54"/>
      <c r="S62" s="54"/>
      <c r="T62" s="54"/>
      <c r="U62" s="259"/>
      <c r="V62" s="259"/>
      <c r="W62" s="259"/>
      <c r="X62" s="259"/>
      <c r="Y62" s="259"/>
      <c r="Z62" s="54"/>
    </row>
    <row r="63" spans="1:26" s="55" customFormat="1">
      <c r="A63" s="54"/>
      <c r="B63" s="31"/>
      <c r="C63" s="31" t="s">
        <v>16</v>
      </c>
      <c r="D63" s="30">
        <f>D59*(1+D60)/(WACC-D60)</f>
        <v>12249.894376053013</v>
      </c>
      <c r="E63" s="30"/>
      <c r="O63" s="30"/>
      <c r="P63" s="29"/>
      <c r="Q63" s="23"/>
      <c r="R63" s="54"/>
      <c r="S63" s="149"/>
      <c r="T63" s="150"/>
      <c r="U63" s="105"/>
      <c r="V63" s="105"/>
      <c r="W63" s="151"/>
      <c r="X63" s="105"/>
      <c r="Y63" s="105"/>
      <c r="Z63" s="54"/>
    </row>
    <row r="64" spans="1:26" s="55" customFormat="1">
      <c r="A64" s="54"/>
      <c r="B64" s="111"/>
      <c r="C64" s="164" t="s">
        <v>65</v>
      </c>
      <c r="D64" s="163">
        <f>(D63*(1+WACC)^0.5)/D62</f>
        <v>8.0866580477229082</v>
      </c>
      <c r="E64" s="30"/>
      <c r="O64" s="30"/>
      <c r="P64" s="20"/>
      <c r="Q64" s="20"/>
      <c r="R64" s="54"/>
      <c r="S64" s="169"/>
      <c r="T64" s="105"/>
      <c r="U64" s="87"/>
      <c r="V64" s="87"/>
      <c r="W64" s="87"/>
      <c r="X64" s="87"/>
      <c r="Y64" s="87"/>
      <c r="Z64" s="54"/>
    </row>
    <row r="65" spans="1:26" s="61" customFormat="1" ht="5.25">
      <c r="A65" s="60"/>
      <c r="B65" s="245"/>
      <c r="C65" s="246"/>
      <c r="D65" s="247"/>
      <c r="E65" s="42"/>
      <c r="O65" s="42"/>
      <c r="P65" s="43"/>
      <c r="Q65" s="43"/>
      <c r="R65" s="60"/>
      <c r="S65" s="248"/>
      <c r="T65" s="249"/>
      <c r="U65" s="250"/>
      <c r="V65" s="250"/>
      <c r="W65" s="250"/>
      <c r="X65" s="250"/>
      <c r="Y65" s="250"/>
      <c r="Z65" s="60"/>
    </row>
    <row r="66" spans="1:26" s="55" customFormat="1">
      <c r="A66" s="54"/>
      <c r="B66" s="31"/>
      <c r="C66" s="31" t="s">
        <v>14</v>
      </c>
      <c r="D66" s="39">
        <f>L41+0.5</f>
        <v>5</v>
      </c>
      <c r="E66" s="36"/>
      <c r="O66" s="30"/>
      <c r="P66" s="22"/>
      <c r="Q66" s="20"/>
      <c r="R66" s="54"/>
      <c r="S66" s="169"/>
      <c r="T66" s="105"/>
      <c r="U66" s="87"/>
      <c r="V66" s="87"/>
      <c r="W66" s="87"/>
      <c r="X66" s="87"/>
      <c r="Y66" s="87"/>
      <c r="Z66" s="54"/>
    </row>
    <row r="67" spans="1:26" s="55" customFormat="1">
      <c r="A67" s="54"/>
      <c r="B67" s="31"/>
      <c r="C67" s="31" t="s">
        <v>15</v>
      </c>
      <c r="D67" s="39">
        <f>1/((1+WACC)^D66)</f>
        <v>0.61288408789506577</v>
      </c>
      <c r="E67" s="35"/>
      <c r="O67" s="30"/>
      <c r="P67" s="24"/>
      <c r="Q67" s="20"/>
      <c r="R67" s="54"/>
      <c r="S67" s="169"/>
      <c r="T67" s="151"/>
      <c r="U67" s="87"/>
      <c r="V67" s="87"/>
      <c r="W67" s="84"/>
      <c r="X67" s="87"/>
      <c r="Y67" s="87"/>
      <c r="Z67" s="54"/>
    </row>
    <row r="68" spans="1:26" s="61" customFormat="1" ht="5.25">
      <c r="A68" s="60"/>
      <c r="B68" s="41"/>
      <c r="C68" s="41"/>
      <c r="D68" s="124"/>
      <c r="E68" s="50"/>
      <c r="O68" s="42"/>
      <c r="P68" s="253"/>
      <c r="Q68" s="43"/>
      <c r="R68" s="60"/>
      <c r="S68" s="248"/>
      <c r="T68" s="254"/>
      <c r="U68" s="250"/>
      <c r="V68" s="250"/>
      <c r="W68" s="97"/>
      <c r="X68" s="250"/>
      <c r="Y68" s="250"/>
      <c r="Z68" s="60"/>
    </row>
    <row r="69" spans="1:26" s="55" customFormat="1">
      <c r="A69" s="54"/>
      <c r="B69" s="255"/>
      <c r="C69" s="255" t="s">
        <v>35</v>
      </c>
      <c r="D69" s="122">
        <f>D63*D67</f>
        <v>7507.7653414781462</v>
      </c>
      <c r="E69" s="30"/>
      <c r="O69" s="30"/>
      <c r="P69" s="20"/>
      <c r="Q69" s="20"/>
      <c r="R69" s="54"/>
      <c r="S69" s="169"/>
      <c r="T69" s="105"/>
      <c r="U69" s="87"/>
      <c r="V69" s="87"/>
      <c r="W69" s="87"/>
      <c r="X69" s="87"/>
      <c r="Y69" s="87"/>
      <c r="Z69" s="54"/>
    </row>
    <row r="70" spans="1:26" s="55" customFormat="1">
      <c r="A70" s="54"/>
      <c r="B70" s="45"/>
      <c r="C70" s="45" t="s">
        <v>25</v>
      </c>
      <c r="D70" s="33">
        <f>D69/DCF!D47</f>
        <v>0.68180271167210549</v>
      </c>
      <c r="E70" s="30"/>
      <c r="O70" s="30"/>
      <c r="P70" s="54"/>
      <c r="Q70" s="20"/>
      <c r="R70" s="54"/>
      <c r="S70" s="169"/>
      <c r="T70" s="105"/>
      <c r="U70" s="87"/>
      <c r="V70" s="87"/>
      <c r="W70" s="87"/>
      <c r="X70" s="87"/>
      <c r="Y70" s="87"/>
      <c r="Z70" s="54"/>
    </row>
    <row r="71" spans="1:26">
      <c r="A71" s="54"/>
      <c r="B71" s="54"/>
      <c r="C71" s="62"/>
      <c r="D71" s="33"/>
      <c r="E71" s="30"/>
      <c r="N71" s="53"/>
      <c r="O71" s="30"/>
      <c r="P71" s="54"/>
      <c r="Q71" s="54"/>
      <c r="R71" s="54"/>
      <c r="S71" s="152"/>
      <c r="T71" s="54"/>
      <c r="U71" s="54"/>
      <c r="V71" s="54"/>
      <c r="W71" s="54"/>
      <c r="X71" s="54"/>
      <c r="Y71" s="54"/>
      <c r="Z71" s="54"/>
    </row>
    <row r="72" spans="1:26">
      <c r="A72" s="54"/>
      <c r="B72" s="54"/>
      <c r="C72" s="31"/>
      <c r="D72" s="36"/>
      <c r="E72" s="27"/>
      <c r="N72" s="53"/>
      <c r="O72" s="30"/>
      <c r="P72" s="20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ht="12.75">
      <c r="A73" s="55"/>
      <c r="B73" s="55"/>
      <c r="D73" s="147"/>
      <c r="E73" s="28"/>
      <c r="N73" s="53"/>
      <c r="O73" s="176"/>
      <c r="P73" s="12"/>
      <c r="Q73" s="55"/>
    </row>
    <row r="74" spans="1:26">
      <c r="A74" s="55"/>
      <c r="B74" s="55"/>
      <c r="E74" s="28"/>
      <c r="N74" s="53"/>
      <c r="O74" s="176"/>
      <c r="P74" s="12"/>
      <c r="Q74" s="55"/>
    </row>
    <row r="75" spans="1:26">
      <c r="A75" s="55"/>
      <c r="B75" s="55"/>
      <c r="E75" s="28"/>
      <c r="N75" s="53"/>
      <c r="O75" s="178"/>
      <c r="P75" s="2"/>
      <c r="Q75" s="2"/>
    </row>
    <row r="76" spans="1:26">
      <c r="A76" s="55"/>
      <c r="B76" s="55"/>
      <c r="E76" s="28"/>
      <c r="N76" s="53"/>
      <c r="O76" s="178"/>
      <c r="P76" s="2"/>
      <c r="Q76" s="2"/>
    </row>
    <row r="77" spans="1:26">
      <c r="E77" s="28"/>
      <c r="N77" s="53"/>
      <c r="O77" s="178"/>
      <c r="P77" s="2"/>
      <c r="Q77" s="2"/>
    </row>
    <row r="78" spans="1:26" ht="12.75">
      <c r="C78" s="168"/>
      <c r="D78" s="148"/>
      <c r="E78" s="28"/>
      <c r="N78" s="53"/>
      <c r="O78" s="178"/>
      <c r="P78" s="2"/>
      <c r="Q78" s="2"/>
    </row>
    <row r="79" spans="1:26">
      <c r="E79" s="28"/>
      <c r="N79" s="53"/>
      <c r="O79" s="178"/>
      <c r="P79" s="2"/>
      <c r="Q79" s="2"/>
    </row>
    <row r="80" spans="1:26">
      <c r="E80" s="28"/>
      <c r="N80" s="53"/>
      <c r="O80" s="178"/>
      <c r="P80" s="2"/>
      <c r="Q80" s="2"/>
    </row>
    <row r="81" spans="2:25">
      <c r="E81" s="28"/>
      <c r="F81" s="177"/>
      <c r="G81" s="176"/>
      <c r="H81" s="176"/>
      <c r="I81" s="178"/>
      <c r="J81" s="178"/>
      <c r="K81" s="178"/>
      <c r="L81" s="178"/>
      <c r="M81" s="178"/>
      <c r="N81" s="178"/>
      <c r="O81" s="178"/>
      <c r="P81" s="2"/>
      <c r="Q81" s="2"/>
    </row>
    <row r="82" spans="2:25">
      <c r="B82" s="4"/>
      <c r="E82" s="13"/>
      <c r="F82" s="179"/>
      <c r="G82" s="179"/>
      <c r="H82" s="180"/>
      <c r="I82" s="181"/>
      <c r="J82" s="181"/>
      <c r="K82" s="181"/>
      <c r="L82" s="181"/>
      <c r="M82" s="182"/>
      <c r="N82" s="182"/>
      <c r="O82" s="182"/>
      <c r="P82" s="89"/>
      <c r="Q82" s="2"/>
    </row>
    <row r="83" spans="2:25">
      <c r="E83" s="55"/>
      <c r="F83" s="132"/>
      <c r="G83" s="132"/>
      <c r="H83" s="132"/>
      <c r="I83" s="183"/>
      <c r="J83" s="183"/>
      <c r="K83" s="183"/>
      <c r="L83" s="183"/>
      <c r="M83" s="183"/>
      <c r="N83" s="184"/>
      <c r="O83" s="184"/>
      <c r="Q83" s="2"/>
    </row>
    <row r="84" spans="2:25">
      <c r="E84" s="55"/>
      <c r="F84" s="132"/>
      <c r="G84" s="132"/>
      <c r="H84" s="132"/>
      <c r="I84" s="183"/>
      <c r="J84" s="183"/>
      <c r="K84" s="183"/>
      <c r="L84" s="183"/>
      <c r="M84" s="183"/>
      <c r="N84" s="184"/>
      <c r="O84" s="184"/>
      <c r="Q84" s="2"/>
    </row>
    <row r="85" spans="2:25">
      <c r="C85" s="47"/>
      <c r="D85" s="71"/>
      <c r="E85" s="55"/>
      <c r="F85" s="55"/>
      <c r="G85" s="55"/>
      <c r="H85" s="55"/>
      <c r="Q85" s="2"/>
    </row>
    <row r="86" spans="2:25">
      <c r="Q86" s="2"/>
    </row>
    <row r="87" spans="2:25">
      <c r="Q87" s="2"/>
    </row>
    <row r="88" spans="2:25">
      <c r="Q88" s="2"/>
    </row>
    <row r="90" spans="2:25">
      <c r="C90" s="47"/>
      <c r="D90" s="35"/>
      <c r="Q90" s="2"/>
    </row>
    <row r="91" spans="2:25" s="89" customFormat="1">
      <c r="B91" s="53"/>
      <c r="E91" s="53"/>
      <c r="F91" s="53"/>
      <c r="G91" s="53"/>
      <c r="H91" s="53"/>
      <c r="I91" s="53"/>
      <c r="J91" s="53"/>
      <c r="K91" s="53"/>
      <c r="L91" s="53"/>
      <c r="M91" s="53"/>
      <c r="N91" s="100"/>
      <c r="O91" s="100"/>
      <c r="P91" s="53"/>
      <c r="S91" s="53"/>
      <c r="T91" s="53"/>
      <c r="U91" s="53"/>
      <c r="V91" s="53"/>
      <c r="W91" s="53"/>
      <c r="X91" s="53"/>
      <c r="Y91" s="53"/>
    </row>
    <row r="92" spans="2:25" s="89" customFormat="1">
      <c r="B92" s="53"/>
      <c r="C92" s="48"/>
      <c r="D92" s="38"/>
      <c r="E92" s="53"/>
      <c r="F92" s="53"/>
      <c r="G92" s="53"/>
      <c r="H92" s="53"/>
      <c r="I92" s="53"/>
      <c r="J92" s="53"/>
      <c r="K92" s="53"/>
      <c r="L92" s="53"/>
      <c r="M92" s="53"/>
      <c r="N92" s="100"/>
      <c r="O92" s="100"/>
      <c r="P92" s="53"/>
    </row>
    <row r="93" spans="2:25">
      <c r="D93" s="171"/>
      <c r="Q93" s="2"/>
      <c r="S93" s="89"/>
      <c r="T93" s="89"/>
      <c r="U93" s="89"/>
      <c r="V93" s="89"/>
      <c r="W93" s="89"/>
      <c r="X93" s="89"/>
      <c r="Y93" s="89"/>
    </row>
    <row r="94" spans="2:25">
      <c r="B94" s="3"/>
      <c r="D94" s="38"/>
      <c r="E94" s="2"/>
      <c r="F94" s="2"/>
      <c r="G94" s="2"/>
      <c r="M94" s="2"/>
      <c r="Q94" s="2"/>
    </row>
    <row r="95" spans="2:25">
      <c r="B95" s="3"/>
      <c r="D95" s="38"/>
      <c r="E95" s="2"/>
      <c r="F95" s="2"/>
      <c r="G95" s="2"/>
      <c r="M95" s="2"/>
      <c r="Q95" s="2"/>
    </row>
    <row r="96" spans="2:25">
      <c r="B96" s="14"/>
      <c r="D96" s="38"/>
      <c r="E96" s="2"/>
      <c r="F96" s="2"/>
      <c r="G96" s="2"/>
      <c r="M96" s="2"/>
      <c r="N96" s="2"/>
      <c r="O96" s="2"/>
      <c r="Q96" s="2"/>
    </row>
    <row r="97" spans="2:25">
      <c r="B97" s="5"/>
      <c r="D97" s="7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2"/>
    </row>
    <row r="98" spans="2:25">
      <c r="B98" s="1"/>
      <c r="C98" s="1"/>
      <c r="D98" s="7"/>
      <c r="E98" s="7"/>
      <c r="F98" s="7"/>
      <c r="G98" s="7"/>
      <c r="M98" s="7"/>
      <c r="N98" s="7"/>
      <c r="O98" s="7"/>
      <c r="Q98" s="2"/>
    </row>
    <row r="99" spans="2:25">
      <c r="B99" s="14"/>
      <c r="C99" s="258"/>
      <c r="D99" s="8"/>
      <c r="E99" s="8"/>
      <c r="F99" s="8"/>
      <c r="G99" s="8"/>
      <c r="M99" s="8"/>
      <c r="N99" s="8"/>
      <c r="O99" s="8"/>
      <c r="Q99" s="2"/>
    </row>
    <row r="100" spans="2:25">
      <c r="B100" s="14"/>
      <c r="C100" s="258"/>
      <c r="D100" s="7"/>
      <c r="E100" s="7"/>
      <c r="F100" s="7"/>
      <c r="G100" s="7"/>
      <c r="M100" s="7"/>
      <c r="N100" s="7"/>
      <c r="O100" s="7"/>
      <c r="Q100" s="2"/>
    </row>
    <row r="101" spans="2:25">
      <c r="B101" s="14"/>
      <c r="C101" s="14"/>
      <c r="D101" s="2"/>
      <c r="E101" s="2"/>
      <c r="F101" s="2"/>
      <c r="G101" s="2"/>
      <c r="M101" s="2"/>
      <c r="N101" s="2"/>
      <c r="O101" s="2"/>
      <c r="Q101" s="2"/>
    </row>
    <row r="102" spans="2:25">
      <c r="B102" s="14"/>
      <c r="C102" s="14"/>
      <c r="D102" s="2"/>
      <c r="E102" s="2"/>
      <c r="F102" s="2"/>
      <c r="G102" s="2"/>
      <c r="M102" s="2"/>
      <c r="N102" s="2"/>
      <c r="O102" s="2"/>
      <c r="Q102" s="2"/>
    </row>
    <row r="103" spans="2:25">
      <c r="B103" s="14"/>
      <c r="C103" s="14"/>
      <c r="D103" s="9"/>
      <c r="E103" s="9"/>
      <c r="F103" s="9"/>
      <c r="G103" s="9"/>
      <c r="M103" s="9"/>
      <c r="N103" s="9"/>
      <c r="O103" s="9"/>
      <c r="Q103" s="2"/>
    </row>
    <row r="104" spans="2:25" s="89" customFormat="1">
      <c r="B104" s="14"/>
      <c r="C104" s="14"/>
      <c r="D104" s="2"/>
      <c r="E104" s="2"/>
      <c r="F104" s="2"/>
      <c r="G104" s="2"/>
      <c r="H104" s="53"/>
      <c r="I104" s="53"/>
      <c r="J104" s="53"/>
      <c r="K104" s="53"/>
      <c r="L104" s="53"/>
      <c r="M104" s="2"/>
      <c r="N104" s="2"/>
      <c r="O104" s="2"/>
      <c r="P104" s="53"/>
      <c r="S104" s="53"/>
      <c r="T104" s="53"/>
      <c r="U104" s="53"/>
      <c r="V104" s="53"/>
      <c r="W104" s="53"/>
      <c r="X104" s="53"/>
      <c r="Y104" s="53"/>
    </row>
    <row r="105" spans="2:25">
      <c r="B105" s="14"/>
      <c r="C105" s="14"/>
      <c r="D105" s="2"/>
      <c r="E105" s="2"/>
      <c r="F105" s="2"/>
      <c r="G105" s="2"/>
      <c r="M105" s="2"/>
      <c r="N105" s="2"/>
      <c r="O105" s="2"/>
      <c r="S105" s="89"/>
      <c r="T105" s="89"/>
      <c r="U105" s="89"/>
      <c r="V105" s="89"/>
      <c r="W105" s="89"/>
      <c r="X105" s="89"/>
      <c r="Y105" s="89"/>
    </row>
    <row r="106" spans="2:25">
      <c r="B106" s="14"/>
      <c r="C106" s="14"/>
      <c r="D106" s="2"/>
      <c r="E106" s="2"/>
      <c r="F106" s="2"/>
      <c r="G106" s="2"/>
      <c r="M106" s="2"/>
      <c r="N106" s="2"/>
      <c r="O106" s="2"/>
    </row>
    <row r="108" spans="2:25">
      <c r="B108" s="5"/>
      <c r="C108" s="5"/>
      <c r="D108" s="10"/>
      <c r="E108" s="10"/>
      <c r="F108" s="10"/>
      <c r="G108" s="10"/>
      <c r="M108" s="10"/>
      <c r="N108" s="10"/>
      <c r="O108" s="10"/>
    </row>
    <row r="109" spans="2:25">
      <c r="B109" s="1"/>
      <c r="C109" s="1"/>
      <c r="D109" s="7"/>
      <c r="E109" s="7"/>
      <c r="F109" s="7"/>
      <c r="G109" s="7"/>
      <c r="M109" s="7"/>
      <c r="N109" s="7"/>
      <c r="O109" s="7"/>
    </row>
    <row r="110" spans="2:25">
      <c r="B110" s="14"/>
      <c r="C110" s="258"/>
      <c r="D110" s="8"/>
      <c r="E110" s="8"/>
      <c r="F110" s="8"/>
      <c r="G110" s="8"/>
      <c r="M110" s="8"/>
      <c r="N110" s="8"/>
      <c r="O110" s="8"/>
    </row>
    <row r="111" spans="2:25">
      <c r="B111" s="14"/>
      <c r="C111" s="258"/>
      <c r="D111" s="7"/>
      <c r="E111" s="7"/>
      <c r="F111" s="7"/>
      <c r="G111" s="7"/>
      <c r="M111" s="7"/>
      <c r="N111" s="7"/>
      <c r="O111" s="7"/>
    </row>
    <row r="112" spans="2:25">
      <c r="B112" s="14"/>
      <c r="C112" s="14"/>
      <c r="D112" s="2"/>
      <c r="E112" s="2"/>
      <c r="F112" s="2"/>
      <c r="G112" s="2"/>
      <c r="M112" s="2"/>
      <c r="N112" s="2"/>
      <c r="O112" s="2"/>
    </row>
    <row r="114" spans="2:17">
      <c r="B114" s="14"/>
      <c r="C114" s="14"/>
      <c r="D114" s="2"/>
      <c r="E114" s="2"/>
      <c r="F114" s="2"/>
      <c r="G114" s="2"/>
      <c r="M114" s="2"/>
      <c r="N114" s="2"/>
      <c r="O114" s="2"/>
    </row>
    <row r="115" spans="2:17">
      <c r="B115" s="14"/>
      <c r="C115" s="14"/>
      <c r="D115" s="2"/>
      <c r="E115" s="2"/>
      <c r="F115" s="2"/>
      <c r="G115" s="2"/>
      <c r="M115" s="2"/>
      <c r="N115" s="2"/>
      <c r="O115" s="2"/>
    </row>
    <row r="116" spans="2:17">
      <c r="B116" s="14"/>
      <c r="C116" s="14"/>
      <c r="D116" s="2"/>
      <c r="E116" s="2"/>
      <c r="F116" s="2"/>
      <c r="G116" s="2"/>
      <c r="M116" s="2"/>
      <c r="N116" s="2"/>
      <c r="O116" s="2"/>
    </row>
    <row r="117" spans="2:17">
      <c r="B117" s="14"/>
      <c r="C117" s="14"/>
      <c r="D117" s="2"/>
      <c r="E117" s="2"/>
      <c r="F117" s="2"/>
      <c r="G117" s="2"/>
      <c r="M117" s="2"/>
      <c r="N117" s="2"/>
      <c r="O117" s="2"/>
    </row>
    <row r="118" spans="2:17">
      <c r="B118" s="14"/>
      <c r="C118" s="14"/>
      <c r="D118" s="2"/>
      <c r="E118" s="2"/>
      <c r="F118" s="2"/>
      <c r="G118" s="2"/>
      <c r="M118" s="2"/>
      <c r="N118" s="2"/>
      <c r="O118" s="2"/>
    </row>
    <row r="119" spans="2:17">
      <c r="B119" s="14"/>
      <c r="C119" s="14"/>
      <c r="D119" s="2"/>
      <c r="E119" s="2"/>
      <c r="F119" s="2"/>
      <c r="G119" s="2"/>
      <c r="M119" s="2"/>
      <c r="N119" s="2"/>
      <c r="O119" s="2"/>
      <c r="Q119" s="6"/>
    </row>
    <row r="120" spans="2:17">
      <c r="B120" s="14"/>
      <c r="C120" s="14"/>
      <c r="D120" s="2"/>
      <c r="E120" s="2"/>
      <c r="F120" s="2"/>
      <c r="G120" s="2"/>
      <c r="M120" s="2"/>
      <c r="N120" s="2"/>
      <c r="O120" s="2"/>
    </row>
    <row r="121" spans="2:17">
      <c r="B121" s="11"/>
      <c r="C121" s="11"/>
      <c r="D121" s="8"/>
      <c r="E121" s="8"/>
      <c r="F121" s="8"/>
      <c r="G121" s="8"/>
      <c r="M121" s="8"/>
      <c r="N121" s="8"/>
      <c r="O121" s="8"/>
    </row>
    <row r="122" spans="2:17">
      <c r="B122" s="5"/>
      <c r="C122" s="5"/>
      <c r="D122" s="10"/>
      <c r="E122" s="10"/>
      <c r="F122" s="10"/>
      <c r="G122" s="10"/>
      <c r="M122" s="10"/>
      <c r="N122" s="10"/>
      <c r="O122" s="10"/>
    </row>
    <row r="123" spans="2:17">
      <c r="B123" s="1"/>
      <c r="C123" s="1"/>
      <c r="D123" s="7"/>
      <c r="E123" s="7"/>
      <c r="F123" s="7"/>
      <c r="G123" s="7"/>
      <c r="M123" s="7"/>
      <c r="N123" s="7"/>
      <c r="O123" s="7"/>
    </row>
    <row r="124" spans="2:17">
      <c r="B124" s="14"/>
      <c r="C124" s="258"/>
      <c r="D124" s="8"/>
      <c r="E124" s="8"/>
      <c r="F124" s="8"/>
      <c r="G124" s="8"/>
      <c r="M124" s="8"/>
      <c r="N124" s="8"/>
      <c r="O124" s="8"/>
    </row>
    <row r="125" spans="2:17">
      <c r="B125" s="14"/>
      <c r="C125" s="258"/>
      <c r="D125" s="7"/>
      <c r="E125" s="7"/>
      <c r="F125" s="7"/>
      <c r="G125" s="7"/>
      <c r="M125" s="7"/>
      <c r="N125" s="7"/>
      <c r="O125" s="7"/>
    </row>
    <row r="126" spans="2:17">
      <c r="B126" s="14"/>
      <c r="C126" s="14"/>
      <c r="D126" s="8"/>
      <c r="E126" s="8"/>
      <c r="F126" s="8"/>
      <c r="G126" s="8"/>
      <c r="M126" s="8"/>
      <c r="N126" s="8"/>
      <c r="O126" s="8"/>
    </row>
    <row r="127" spans="2:17">
      <c r="B127" s="14"/>
      <c r="C127" s="14"/>
      <c r="D127" s="8"/>
      <c r="E127" s="8"/>
      <c r="F127" s="8"/>
      <c r="G127" s="8"/>
      <c r="M127" s="8"/>
      <c r="N127" s="8"/>
      <c r="O127" s="8"/>
    </row>
    <row r="128" spans="2:17">
      <c r="B128" s="14"/>
      <c r="C128" s="14"/>
      <c r="D128" s="8"/>
      <c r="E128" s="8"/>
      <c r="F128" s="8"/>
      <c r="G128" s="8"/>
      <c r="M128" s="8"/>
      <c r="N128" s="8"/>
      <c r="O128" s="8"/>
    </row>
    <row r="129" spans="2:15">
      <c r="B129" s="14"/>
      <c r="C129" s="14"/>
      <c r="D129" s="8"/>
      <c r="E129" s="8"/>
      <c r="F129" s="8"/>
      <c r="G129" s="8"/>
      <c r="M129" s="8"/>
      <c r="N129" s="8"/>
      <c r="O129" s="8"/>
    </row>
    <row r="130" spans="2:15">
      <c r="B130" s="14"/>
      <c r="C130" s="14"/>
      <c r="D130" s="8"/>
      <c r="E130" s="8"/>
      <c r="F130" s="8"/>
      <c r="G130" s="8"/>
      <c r="M130" s="8"/>
      <c r="N130" s="8"/>
      <c r="O130" s="8"/>
    </row>
    <row r="131" spans="2:15">
      <c r="B131" s="14"/>
      <c r="C131" s="14"/>
      <c r="D131" s="8"/>
      <c r="E131" s="8"/>
      <c r="F131" s="8"/>
      <c r="G131" s="8"/>
      <c r="M131" s="8"/>
      <c r="N131" s="8"/>
      <c r="O131" s="8"/>
    </row>
    <row r="132" spans="2:15">
      <c r="B132" s="14"/>
      <c r="C132" s="14"/>
      <c r="D132" s="8"/>
      <c r="E132" s="8"/>
      <c r="F132" s="8"/>
      <c r="G132" s="8"/>
      <c r="M132" s="8"/>
      <c r="N132" s="8"/>
      <c r="O132" s="8"/>
    </row>
    <row r="133" spans="2:15">
      <c r="B133" s="14"/>
      <c r="C133" s="14"/>
      <c r="D133" s="8"/>
      <c r="E133" s="8"/>
      <c r="F133" s="8"/>
      <c r="G133" s="8"/>
      <c r="M133" s="8"/>
      <c r="N133" s="8"/>
      <c r="O133" s="8"/>
    </row>
    <row r="134" spans="2:15">
      <c r="B134" s="14"/>
      <c r="C134" s="14"/>
      <c r="D134" s="8"/>
      <c r="E134" s="8"/>
      <c r="F134" s="8"/>
      <c r="G134" s="8"/>
      <c r="M134" s="8"/>
      <c r="N134" s="8"/>
      <c r="O134" s="8"/>
    </row>
    <row r="135" spans="2:15">
      <c r="B135" s="14"/>
      <c r="C135" s="14"/>
      <c r="D135" s="8"/>
      <c r="E135" s="8"/>
      <c r="F135" s="8"/>
      <c r="G135" s="8"/>
      <c r="M135" s="8"/>
      <c r="N135" s="8"/>
      <c r="O135" s="8"/>
    </row>
    <row r="136" spans="2:15">
      <c r="B136" s="14"/>
      <c r="C136" s="14"/>
      <c r="D136" s="8"/>
      <c r="E136" s="8"/>
      <c r="F136" s="8"/>
      <c r="G136" s="8"/>
      <c r="M136" s="8"/>
      <c r="N136" s="8"/>
      <c r="O136" s="8"/>
    </row>
    <row r="137" spans="2:15">
      <c r="B137" s="14"/>
      <c r="C137" s="14"/>
      <c r="D137" s="8"/>
      <c r="E137" s="8"/>
      <c r="F137" s="8"/>
      <c r="G137" s="8"/>
      <c r="M137" s="8"/>
      <c r="N137" s="8"/>
      <c r="O137" s="8"/>
    </row>
    <row r="138" spans="2:15">
      <c r="B138" s="14"/>
      <c r="C138" s="14"/>
      <c r="D138" s="8"/>
      <c r="E138" s="8"/>
      <c r="F138" s="8"/>
      <c r="G138" s="8"/>
      <c r="M138" s="8"/>
      <c r="N138" s="8"/>
      <c r="O138" s="8"/>
    </row>
    <row r="139" spans="2:15">
      <c r="B139" s="14"/>
      <c r="C139" s="14"/>
      <c r="D139" s="8"/>
      <c r="E139" s="8"/>
      <c r="F139" s="8"/>
      <c r="G139" s="8"/>
      <c r="M139" s="8"/>
      <c r="N139" s="8"/>
      <c r="O139" s="8"/>
    </row>
    <row r="140" spans="2:15">
      <c r="B140" s="14"/>
      <c r="C140" s="14"/>
      <c r="D140" s="8"/>
      <c r="E140" s="8"/>
      <c r="F140" s="8"/>
      <c r="G140" s="8"/>
      <c r="M140" s="8"/>
      <c r="N140" s="8"/>
      <c r="O140" s="8"/>
    </row>
    <row r="141" spans="2:15">
      <c r="B141" s="14"/>
      <c r="C141" s="14"/>
      <c r="D141" s="8"/>
      <c r="E141" s="8"/>
      <c r="F141" s="8"/>
      <c r="G141" s="8"/>
      <c r="M141" s="8"/>
      <c r="N141" s="8"/>
      <c r="O141" s="8"/>
    </row>
  </sheetData>
  <mergeCells count="6">
    <mergeCell ref="U30:Y30"/>
    <mergeCell ref="C110:C111"/>
    <mergeCell ref="C124:C125"/>
    <mergeCell ref="C99:C100"/>
    <mergeCell ref="U62:Y62"/>
    <mergeCell ref="S60:Y6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48EB0"/>
  </sheetPr>
  <dimension ref="B2:K24"/>
  <sheetViews>
    <sheetView showGridLines="0" workbookViewId="0">
      <selection activeCell="J22" sqref="J22"/>
    </sheetView>
  </sheetViews>
  <sheetFormatPr defaultColWidth="24.85546875" defaultRowHeight="12.75"/>
  <cols>
    <col min="1" max="1" width="3" style="145" customWidth="1"/>
    <col min="2" max="2" width="1.140625" style="145" customWidth="1"/>
    <col min="3" max="3" width="24.85546875" style="145"/>
    <col min="4" max="4" width="24.85546875" style="190"/>
    <col min="5" max="5" width="2.28515625" style="190" customWidth="1"/>
    <col min="6" max="6" width="60" style="145" customWidth="1"/>
    <col min="7" max="7" width="2.28515625" style="145" customWidth="1"/>
    <col min="8" max="16384" width="24.85546875" style="145"/>
  </cols>
  <sheetData>
    <row r="2" spans="2:11" ht="23.25">
      <c r="B2" s="189"/>
      <c r="C2" s="189" t="s">
        <v>13</v>
      </c>
      <c r="G2" s="146"/>
    </row>
    <row r="3" spans="2:11">
      <c r="D3" s="191"/>
      <c r="E3" s="191"/>
      <c r="F3" s="172"/>
      <c r="G3" s="172"/>
      <c r="H3" s="172"/>
      <c r="J3" s="36"/>
      <c r="K3" s="30"/>
    </row>
    <row r="4" spans="2:11">
      <c r="B4" s="187"/>
      <c r="C4" s="187"/>
      <c r="D4" s="192"/>
      <c r="E4" s="192"/>
      <c r="F4" s="188"/>
      <c r="G4" s="188"/>
      <c r="H4" s="172"/>
      <c r="J4" s="36"/>
      <c r="K4" s="30"/>
    </row>
    <row r="5" spans="2:11">
      <c r="B5" s="185"/>
      <c r="C5" s="185"/>
      <c r="D5" s="193"/>
      <c r="E5" s="193"/>
      <c r="F5" s="118" t="s">
        <v>76</v>
      </c>
      <c r="G5" s="186"/>
      <c r="H5" s="173"/>
      <c r="J5" s="35"/>
      <c r="K5" s="35"/>
    </row>
    <row r="6" spans="2:11">
      <c r="B6" s="48"/>
      <c r="C6" s="48" t="s">
        <v>80</v>
      </c>
      <c r="D6" s="194"/>
      <c r="E6" s="194"/>
      <c r="G6" s="170"/>
      <c r="H6" s="174"/>
      <c r="J6" s="30"/>
      <c r="K6" s="30"/>
    </row>
    <row r="7" spans="2:11">
      <c r="B7" s="47"/>
      <c r="C7" s="47" t="s">
        <v>11</v>
      </c>
      <c r="D7" s="195">
        <f>1-D8</f>
        <v>0.29083547778514185</v>
      </c>
      <c r="E7" s="195"/>
      <c r="H7" s="174"/>
      <c r="J7" s="30"/>
      <c r="K7" s="30"/>
    </row>
    <row r="8" spans="2:11">
      <c r="B8" s="47"/>
      <c r="C8" s="47" t="s">
        <v>12</v>
      </c>
      <c r="D8" s="195">
        <f>'Beta and capital structure'!G13</f>
        <v>0.70916452221485815</v>
      </c>
      <c r="E8" s="196"/>
      <c r="F8" s="47" t="s">
        <v>78</v>
      </c>
      <c r="H8" s="174"/>
      <c r="J8" s="30"/>
      <c r="K8" s="30"/>
    </row>
    <row r="9" spans="2:11">
      <c r="B9" s="47"/>
      <c r="C9" s="47" t="s">
        <v>54</v>
      </c>
      <c r="D9" s="195">
        <f>'Beta and capital structure'!F13</f>
        <v>0.41756272401433686</v>
      </c>
      <c r="E9" s="196"/>
      <c r="F9" s="47" t="s">
        <v>78</v>
      </c>
      <c r="H9" s="174"/>
      <c r="J9" s="30"/>
      <c r="K9" s="30"/>
    </row>
    <row r="10" spans="2:11">
      <c r="B10" s="175"/>
      <c r="C10" s="175"/>
      <c r="D10" s="196"/>
      <c r="E10" s="196"/>
      <c r="G10" s="174"/>
      <c r="H10" s="174"/>
      <c r="I10" s="174"/>
      <c r="J10" s="36"/>
      <c r="K10" s="30"/>
    </row>
    <row r="11" spans="2:11">
      <c r="B11" s="48"/>
      <c r="C11" s="48" t="s">
        <v>4</v>
      </c>
      <c r="D11" s="35"/>
      <c r="E11" s="35"/>
      <c r="G11" s="38"/>
      <c r="H11" s="38"/>
      <c r="I11" s="38"/>
      <c r="J11" s="35"/>
      <c r="K11" s="30"/>
    </row>
    <row r="12" spans="2:11">
      <c r="B12" s="47"/>
      <c r="C12" s="47" t="s">
        <v>30</v>
      </c>
      <c r="D12" s="125">
        <v>2.5000000000000001E-2</v>
      </c>
      <c r="E12" s="38"/>
      <c r="F12" s="47" t="s">
        <v>81</v>
      </c>
      <c r="G12" s="30"/>
      <c r="H12" s="30"/>
      <c r="I12" s="30"/>
      <c r="J12" s="30"/>
      <c r="K12" s="30"/>
    </row>
    <row r="13" spans="2:11">
      <c r="B13" s="47"/>
      <c r="C13" s="47" t="s">
        <v>31</v>
      </c>
      <c r="D13" s="125">
        <v>7.0999999999999994E-2</v>
      </c>
      <c r="E13" s="38"/>
      <c r="F13" s="47" t="s">
        <v>82</v>
      </c>
      <c r="G13" s="72"/>
      <c r="H13" s="72"/>
      <c r="I13" s="72"/>
      <c r="J13" s="30"/>
      <c r="K13" s="30"/>
    </row>
    <row r="14" spans="2:11">
      <c r="B14" s="47"/>
      <c r="C14" s="47" t="s">
        <v>32</v>
      </c>
      <c r="D14" s="40">
        <f>'Beta and capital structure'!G23</f>
        <v>1.2159637157227126</v>
      </c>
      <c r="E14" s="123"/>
      <c r="F14" s="47" t="s">
        <v>78</v>
      </c>
      <c r="G14" s="72"/>
      <c r="H14" s="72"/>
      <c r="I14" s="72"/>
      <c r="J14" s="30"/>
      <c r="K14" s="30"/>
    </row>
    <row r="15" spans="2:11">
      <c r="B15" s="47"/>
      <c r="C15" s="47" t="s">
        <v>33</v>
      </c>
      <c r="D15" s="125">
        <v>1.6500000000000001E-2</v>
      </c>
      <c r="E15" s="38"/>
      <c r="F15" s="47" t="s">
        <v>83</v>
      </c>
      <c r="G15" s="30"/>
      <c r="H15" s="30"/>
      <c r="I15" s="30"/>
      <c r="J15" s="30"/>
      <c r="K15" s="30"/>
    </row>
    <row r="16" spans="2:11">
      <c r="B16" s="112"/>
      <c r="C16" s="112" t="s">
        <v>4</v>
      </c>
      <c r="D16" s="199">
        <f>D12+(D14*D13)+D15</f>
        <v>0.12783342381631257</v>
      </c>
      <c r="E16" s="199"/>
      <c r="F16" s="198"/>
      <c r="G16" s="198"/>
      <c r="H16" s="176"/>
      <c r="I16" s="176"/>
      <c r="J16" s="176"/>
      <c r="K16" s="176"/>
    </row>
    <row r="17" spans="2:11">
      <c r="B17" s="177"/>
      <c r="C17" s="177"/>
      <c r="D17" s="176"/>
      <c r="E17" s="176"/>
      <c r="F17" s="176"/>
      <c r="G17" s="176"/>
      <c r="H17" s="176"/>
      <c r="I17" s="176"/>
      <c r="J17" s="176"/>
      <c r="K17" s="176"/>
    </row>
    <row r="18" spans="2:11">
      <c r="B18" s="48"/>
      <c r="C18" s="48" t="s">
        <v>10</v>
      </c>
      <c r="D18" s="197"/>
      <c r="E18" s="197"/>
      <c r="F18" s="178"/>
      <c r="G18" s="178"/>
      <c r="H18" s="178"/>
      <c r="I18" s="178"/>
      <c r="J18" s="178"/>
      <c r="K18" s="178"/>
    </row>
    <row r="19" spans="2:11">
      <c r="B19" s="47"/>
      <c r="C19" s="47" t="s">
        <v>10</v>
      </c>
      <c r="D19" s="125">
        <v>0.06</v>
      </c>
      <c r="E19" s="38"/>
      <c r="G19" s="178"/>
      <c r="H19" s="178"/>
      <c r="I19" s="178"/>
      <c r="J19" s="178"/>
      <c r="K19" s="178"/>
    </row>
    <row r="20" spans="2:11">
      <c r="B20" s="47"/>
      <c r="C20" s="47" t="s">
        <v>66</v>
      </c>
      <c r="D20" s="35">
        <f>Input!C5</f>
        <v>0.3</v>
      </c>
      <c r="E20" s="38"/>
      <c r="F20" s="47" t="s">
        <v>79</v>
      </c>
      <c r="G20" s="178"/>
      <c r="H20" s="178"/>
      <c r="I20" s="178"/>
      <c r="J20" s="178"/>
      <c r="K20" s="178"/>
    </row>
    <row r="21" spans="2:11">
      <c r="B21" s="112"/>
      <c r="C21" s="112" t="s">
        <v>77</v>
      </c>
      <c r="D21" s="113">
        <f>D19*(1-D20)</f>
        <v>4.1999999999999996E-2</v>
      </c>
      <c r="E21" s="113"/>
      <c r="F21" s="198"/>
      <c r="G21" s="198"/>
      <c r="H21" s="178"/>
      <c r="I21" s="178"/>
      <c r="J21" s="178"/>
      <c r="K21" s="178"/>
    </row>
    <row r="22" spans="2:11">
      <c r="B22" s="177"/>
      <c r="C22" s="177"/>
      <c r="D22" s="176"/>
      <c r="E22" s="176"/>
      <c r="F22" s="176"/>
      <c r="G22" s="178"/>
      <c r="H22" s="178"/>
      <c r="I22" s="178"/>
      <c r="J22" s="178"/>
      <c r="K22" s="178"/>
    </row>
    <row r="23" spans="2:11" ht="13.5" thickBot="1">
      <c r="B23" s="200"/>
      <c r="C23" s="203" t="s">
        <v>2</v>
      </c>
      <c r="D23" s="204">
        <f>(D21*D7)+(D16*D8)</f>
        <v>0.10287001899076073</v>
      </c>
      <c r="E23" s="201"/>
      <c r="F23" s="202"/>
      <c r="G23" s="202"/>
      <c r="H23" s="178"/>
      <c r="I23" s="178"/>
      <c r="J23" s="178"/>
      <c r="K23" s="178"/>
    </row>
    <row r="24" spans="2:11" ht="13.5" thickTop="1"/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48EB0"/>
  </sheetPr>
  <dimension ref="B2:I24"/>
  <sheetViews>
    <sheetView showGridLines="0" zoomScaleNormal="100" workbookViewId="0">
      <selection activeCell="E35" sqref="E35"/>
    </sheetView>
  </sheetViews>
  <sheetFormatPr defaultRowHeight="12"/>
  <cols>
    <col min="1" max="1" width="9.140625" style="181"/>
    <col min="2" max="2" width="11.5703125" style="181" bestFit="1" customWidth="1"/>
    <col min="3" max="3" width="11.7109375" style="181" bestFit="1" customWidth="1"/>
    <col min="4" max="5" width="14.28515625" style="181" bestFit="1" customWidth="1"/>
    <col min="6" max="6" width="10.5703125" style="181" customWidth="1"/>
    <col min="7" max="7" width="11.85546875" style="181" bestFit="1" customWidth="1"/>
    <col min="8" max="8" width="9.140625" style="181"/>
    <col min="9" max="9" width="10.5703125" style="181" customWidth="1"/>
    <col min="10" max="16384" width="9.140625" style="181"/>
  </cols>
  <sheetData>
    <row r="2" spans="2:9" s="205" customFormat="1" ht="18">
      <c r="B2" s="216" t="s">
        <v>36</v>
      </c>
      <c r="C2" s="206"/>
      <c r="D2" s="206"/>
      <c r="E2" s="206"/>
      <c r="F2" s="206"/>
      <c r="G2" s="206"/>
      <c r="H2" s="206"/>
      <c r="I2" s="206"/>
    </row>
    <row r="3" spans="2:9" s="212" customFormat="1"/>
    <row r="4" spans="2:9" s="212" customFormat="1">
      <c r="B4" s="213"/>
      <c r="C4" s="213"/>
      <c r="D4" s="213"/>
      <c r="E4" s="213"/>
      <c r="F4" s="213"/>
      <c r="G4" s="213"/>
      <c r="H4" s="213"/>
      <c r="I4" s="213"/>
    </row>
    <row r="5" spans="2:9" ht="24">
      <c r="B5" s="118" t="s">
        <v>34</v>
      </c>
      <c r="C5" s="208" t="s">
        <v>39</v>
      </c>
      <c r="D5" s="208" t="s">
        <v>40</v>
      </c>
      <c r="E5" s="208" t="s">
        <v>41</v>
      </c>
      <c r="F5" s="208" t="s">
        <v>51</v>
      </c>
      <c r="G5" s="208" t="s">
        <v>52</v>
      </c>
      <c r="H5" s="208" t="s">
        <v>55</v>
      </c>
      <c r="I5" s="208" t="s">
        <v>42</v>
      </c>
    </row>
    <row r="6" spans="2:9">
      <c r="B6" s="181" t="s">
        <v>68</v>
      </c>
      <c r="C6" s="217">
        <v>1.23</v>
      </c>
      <c r="D6" s="217">
        <v>500</v>
      </c>
      <c r="E6" s="218">
        <v>1125</v>
      </c>
      <c r="F6" s="209">
        <f>D6/E6</f>
        <v>0.44444444444444442</v>
      </c>
      <c r="G6" s="209">
        <f>E6/(D6+E6)</f>
        <v>0.69230769230769229</v>
      </c>
      <c r="H6" s="215">
        <v>0.3</v>
      </c>
      <c r="I6" s="210">
        <f>C6/(1+(F6)*(1-H6))</f>
        <v>0.93813559322033901</v>
      </c>
    </row>
    <row r="7" spans="2:9">
      <c r="B7" s="181" t="s">
        <v>68</v>
      </c>
      <c r="C7" s="217">
        <v>1.31</v>
      </c>
      <c r="D7" s="217">
        <v>400</v>
      </c>
      <c r="E7" s="218">
        <v>868</v>
      </c>
      <c r="F7" s="209">
        <f t="shared" ref="F7:F10" si="0">D7/E7</f>
        <v>0.46082949308755761</v>
      </c>
      <c r="G7" s="209">
        <f t="shared" ref="G7:G10" si="1">E7/(D7+E7)</f>
        <v>0.68454258675078861</v>
      </c>
      <c r="H7" s="215">
        <v>0.3</v>
      </c>
      <c r="I7" s="210">
        <f>C7/(1+(F7)*(1-H7))</f>
        <v>0.99048780487804888</v>
      </c>
    </row>
    <row r="8" spans="2:9">
      <c r="B8" s="181" t="s">
        <v>68</v>
      </c>
      <c r="C8" s="217">
        <v>1.1499999999999999</v>
      </c>
      <c r="D8" s="217">
        <v>450</v>
      </c>
      <c r="E8" s="218">
        <v>787.5</v>
      </c>
      <c r="F8" s="209">
        <f t="shared" si="0"/>
        <v>0.5714285714285714</v>
      </c>
      <c r="G8" s="209">
        <f t="shared" si="1"/>
        <v>0.63636363636363635</v>
      </c>
      <c r="H8" s="215">
        <v>0.3</v>
      </c>
      <c r="I8" s="210">
        <f>C8/(1+(F8)*(1-H8))</f>
        <v>0.8214285714285714</v>
      </c>
    </row>
    <row r="9" spans="2:9">
      <c r="B9" s="181" t="s">
        <v>68</v>
      </c>
      <c r="C9" s="217">
        <v>1.1200000000000001</v>
      </c>
      <c r="D9" s="217">
        <v>375</v>
      </c>
      <c r="E9" s="218">
        <v>1125</v>
      </c>
      <c r="F9" s="209">
        <f t="shared" si="0"/>
        <v>0.33333333333333331</v>
      </c>
      <c r="G9" s="209">
        <f t="shared" si="1"/>
        <v>0.75</v>
      </c>
      <c r="H9" s="215">
        <v>0.3</v>
      </c>
      <c r="I9" s="210">
        <f>C9/(1+(F9)*(1-H9))</f>
        <v>0.90810810810810816</v>
      </c>
    </row>
    <row r="10" spans="2:9">
      <c r="B10" s="181" t="s">
        <v>68</v>
      </c>
      <c r="C10" s="217">
        <v>1.25</v>
      </c>
      <c r="D10" s="217">
        <v>250</v>
      </c>
      <c r="E10" s="218">
        <v>900</v>
      </c>
      <c r="F10" s="209">
        <f t="shared" si="0"/>
        <v>0.27777777777777779</v>
      </c>
      <c r="G10" s="209">
        <f t="shared" si="1"/>
        <v>0.78260869565217395</v>
      </c>
      <c r="H10" s="215">
        <v>0.3</v>
      </c>
      <c r="I10" s="210">
        <f>C10/(1+(F10)*(1-H10))</f>
        <v>1.0465116279069768</v>
      </c>
    </row>
    <row r="11" spans="2:9" s="227" customFormat="1" ht="5.25">
      <c r="B11" s="228"/>
      <c r="C11" s="229"/>
      <c r="D11" s="229"/>
      <c r="E11" s="229"/>
      <c r="F11" s="229"/>
      <c r="G11" s="229"/>
      <c r="H11" s="229"/>
      <c r="I11" s="229"/>
    </row>
    <row r="12" spans="2:9">
      <c r="B12" s="219" t="s">
        <v>38</v>
      </c>
      <c r="C12" s="220">
        <f>MEDIAN(C6:C10)</f>
        <v>1.23</v>
      </c>
      <c r="D12" s="220"/>
      <c r="E12" s="220"/>
      <c r="F12" s="221">
        <f t="shared" ref="F12:I12" si="2">MEDIAN(F6:F10)</f>
        <v>0.44444444444444442</v>
      </c>
      <c r="G12" s="221">
        <f t="shared" ref="G12" si="3">MEDIAN(G6:G10)</f>
        <v>0.69230769230769229</v>
      </c>
      <c r="H12" s="222"/>
      <c r="I12" s="220">
        <f t="shared" si="2"/>
        <v>0.93813559322033901</v>
      </c>
    </row>
    <row r="13" spans="2:9">
      <c r="B13" s="223" t="s">
        <v>37</v>
      </c>
      <c r="C13" s="224">
        <f>AVERAGE(C6:C10)</f>
        <v>1.2120000000000002</v>
      </c>
      <c r="D13" s="224"/>
      <c r="E13" s="224"/>
      <c r="F13" s="225">
        <f t="shared" ref="F13:I13" si="4">AVERAGE(F6:F10)</f>
        <v>0.41756272401433686</v>
      </c>
      <c r="G13" s="225">
        <f t="shared" ref="G13" si="5">AVERAGE(G6:G10)</f>
        <v>0.70916452221485815</v>
      </c>
      <c r="H13" s="226"/>
      <c r="I13" s="224">
        <f t="shared" si="4"/>
        <v>0.94093434110840879</v>
      </c>
    </row>
    <row r="15" spans="2:9">
      <c r="B15" s="214" t="s">
        <v>43</v>
      </c>
    </row>
    <row r="16" spans="2:9">
      <c r="B16" s="214" t="s">
        <v>44</v>
      </c>
    </row>
    <row r="17" spans="2:8">
      <c r="B17" s="214" t="s">
        <v>45</v>
      </c>
    </row>
    <row r="18" spans="2:8">
      <c r="B18" s="214" t="s">
        <v>46</v>
      </c>
    </row>
    <row r="19" spans="2:8">
      <c r="B19" s="214"/>
    </row>
    <row r="20" spans="2:8">
      <c r="B20" s="230"/>
      <c r="C20" s="231"/>
      <c r="D20" s="231"/>
      <c r="E20" s="231"/>
      <c r="F20" s="231"/>
      <c r="G20" s="231"/>
    </row>
    <row r="21" spans="2:8" ht="36">
      <c r="B21" s="237" t="s">
        <v>47</v>
      </c>
      <c r="C21" s="237"/>
      <c r="D21" s="208" t="s">
        <v>48</v>
      </c>
      <c r="E21" s="208" t="s">
        <v>53</v>
      </c>
      <c r="F21" s="208" t="s">
        <v>49</v>
      </c>
      <c r="G21" s="208" t="s">
        <v>47</v>
      </c>
      <c r="H21" s="211"/>
    </row>
    <row r="22" spans="2:8" s="227" customFormat="1" ht="5.25">
      <c r="B22" s="238"/>
      <c r="C22" s="238"/>
      <c r="D22" s="239"/>
      <c r="E22" s="239"/>
      <c r="F22" s="239"/>
      <c r="G22" s="239"/>
      <c r="H22" s="240"/>
    </row>
    <row r="23" spans="2:8" s="180" customFormat="1">
      <c r="B23" s="180" t="s">
        <v>50</v>
      </c>
      <c r="D23" s="232">
        <f>I13</f>
        <v>0.94093434110840879</v>
      </c>
      <c r="E23" s="233">
        <f>F13</f>
        <v>0.41756272401433686</v>
      </c>
      <c r="F23" s="234">
        <f>Input!C5</f>
        <v>0.3</v>
      </c>
      <c r="G23" s="235">
        <f>D23*(1+(E23)*(1-F23))</f>
        <v>1.2159637157227126</v>
      </c>
    </row>
    <row r="24" spans="2:8" s="227" customFormat="1" ht="5.25">
      <c r="B24" s="236"/>
      <c r="C24" s="236"/>
      <c r="D24" s="236"/>
      <c r="E24" s="236"/>
      <c r="F24" s="236"/>
      <c r="G24" s="2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2</vt:i4>
      </vt:variant>
    </vt:vector>
  </HeadingPairs>
  <TitlesOfParts>
    <vt:vector size="7" baseType="lpstr">
      <vt:lpstr>Cover</vt:lpstr>
      <vt:lpstr>Input</vt:lpstr>
      <vt:lpstr>DCF</vt:lpstr>
      <vt:lpstr>WACC</vt:lpstr>
      <vt:lpstr>Beta and capital structure</vt:lpstr>
      <vt:lpstr>EV</vt:lpstr>
      <vt:lpstr>WACC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2018-03-19T10:29:42Z</dcterms:created>
  <dcterms:modified xsi:type="dcterms:W3CDTF">2018-03-19T10:29:47Z</dcterms:modified>
  <cp:category/>
</cp:coreProperties>
</file>