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255" windowWidth="14940" windowHeight="9150"/>
  </bookViews>
  <sheets>
    <sheet name="Cover" sheetId="5" r:id="rId1"/>
    <sheet name="Input" sheetId="4" r:id="rId2"/>
    <sheet name="LBO Model" sheetId="2" r:id="rId3"/>
    <sheet name="Case selector" sheetId="3" r:id="rId4"/>
    <sheet name="Credit statistics" sheetId="6" r:id="rId5"/>
    <sheet name="Notes" sheetId="7" r:id="rId6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39646.6816203704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Area" localSheetId="2">'LBO Model'!$B$3:$M$32</definedName>
  </definedNames>
  <calcPr calcId="152511" iterate="1" iterateCount="9999"/>
</workbook>
</file>

<file path=xl/calcChain.xml><?xml version="1.0" encoding="utf-8"?>
<calcChain xmlns="http://schemas.openxmlformats.org/spreadsheetml/2006/main">
  <c r="C22" i="2" l="1"/>
  <c r="C2" i="3"/>
  <c r="I18" i="3"/>
  <c r="G18" i="3"/>
  <c r="D18" i="3"/>
  <c r="C20" i="2"/>
  <c r="C19" i="2"/>
  <c r="T9" i="2"/>
  <c r="T6" i="2"/>
  <c r="K5" i="2"/>
  <c r="L5" i="2" s="1"/>
  <c r="M5" i="2" s="1"/>
  <c r="N5" i="2" s="1"/>
  <c r="O5" i="2" s="1"/>
  <c r="P5" i="2" s="1"/>
  <c r="Q5" i="2" s="1"/>
  <c r="R5" i="2" s="1"/>
  <c r="I5" i="6" s="1"/>
  <c r="J18" i="3" l="1"/>
  <c r="K18" i="3"/>
  <c r="E18" i="3"/>
  <c r="F18" i="3"/>
  <c r="H18" i="3"/>
  <c r="E5" i="6"/>
  <c r="C5" i="6"/>
  <c r="D5" i="6"/>
  <c r="F5" i="6"/>
  <c r="G5" i="6"/>
  <c r="H5" i="6"/>
  <c r="U5" i="2"/>
  <c r="E5" i="3"/>
  <c r="J5" i="2"/>
  <c r="I5" i="2" s="1"/>
  <c r="H5" i="2" s="1"/>
  <c r="G5" i="2" s="1"/>
  <c r="T5" i="2" s="1"/>
  <c r="D8" i="3" l="1"/>
  <c r="K10" i="2"/>
  <c r="J10" i="2"/>
  <c r="I10" i="2"/>
  <c r="H10" i="2"/>
  <c r="G10" i="2"/>
  <c r="C8" i="2"/>
  <c r="D22" i="3" l="1"/>
  <c r="D20" i="3"/>
  <c r="E20" i="3" s="1"/>
  <c r="F20" i="3" s="1"/>
  <c r="G20" i="3" s="1"/>
  <c r="H20" i="3" s="1"/>
  <c r="I20" i="3" s="1"/>
  <c r="J20" i="3" s="1"/>
  <c r="K20" i="3" s="1"/>
  <c r="D21" i="3"/>
  <c r="E21" i="3" s="1"/>
  <c r="F21" i="3" s="1"/>
  <c r="G21" i="3" s="1"/>
  <c r="H21" i="3" s="1"/>
  <c r="I21" i="3" s="1"/>
  <c r="J21" i="3" s="1"/>
  <c r="K21" i="3" s="1"/>
  <c r="D7" i="3"/>
  <c r="E7" i="3" s="1"/>
  <c r="F7" i="3" s="1"/>
  <c r="G7" i="3" s="1"/>
  <c r="H7" i="3" s="1"/>
  <c r="I7" i="3" s="1"/>
  <c r="J7" i="3" s="1"/>
  <c r="K7" i="3" s="1"/>
  <c r="D9" i="3"/>
  <c r="E8" i="3"/>
  <c r="C11" i="2"/>
  <c r="K22" i="2" s="1"/>
  <c r="K25" i="2" s="1"/>
  <c r="M4" i="2"/>
  <c r="N4" i="2" s="1"/>
  <c r="C7" i="2"/>
  <c r="C27" i="2" s="1"/>
  <c r="K7" i="2"/>
  <c r="J7" i="2"/>
  <c r="I7" i="2"/>
  <c r="H7" i="2"/>
  <c r="D5" i="3"/>
  <c r="E9" i="3" l="1"/>
  <c r="F9" i="3" s="1"/>
  <c r="G9" i="3" s="1"/>
  <c r="H9" i="3" s="1"/>
  <c r="I9" i="3" s="1"/>
  <c r="J9" i="3" s="1"/>
  <c r="K9" i="3" s="1"/>
  <c r="D11" i="3"/>
  <c r="E22" i="3"/>
  <c r="D24" i="3"/>
  <c r="F8" i="3"/>
  <c r="E11" i="3"/>
  <c r="O4" i="2"/>
  <c r="K24" i="2"/>
  <c r="K28" i="2" s="1"/>
  <c r="C12" i="2"/>
  <c r="C13" i="2" s="1"/>
  <c r="F22" i="3" l="1"/>
  <c r="E24" i="3"/>
  <c r="L10" i="2" s="1"/>
  <c r="G8" i="3"/>
  <c r="F11" i="3"/>
  <c r="M6" i="2" s="1"/>
  <c r="L6" i="2"/>
  <c r="D32" i="2"/>
  <c r="P4" i="2"/>
  <c r="D11" i="2"/>
  <c r="G22" i="3" l="1"/>
  <c r="F24" i="3"/>
  <c r="M10" i="2" s="1"/>
  <c r="M9" i="2" s="1"/>
  <c r="M13" i="2"/>
  <c r="L13" i="2"/>
  <c r="L9" i="2"/>
  <c r="L24" i="2" s="1"/>
  <c r="H8" i="3"/>
  <c r="G11" i="3"/>
  <c r="N6" i="2" s="1"/>
  <c r="L16" i="2"/>
  <c r="L17" i="2"/>
  <c r="L7" i="2"/>
  <c r="Q4" i="2"/>
  <c r="D12" i="2"/>
  <c r="F5" i="3"/>
  <c r="M16" i="2"/>
  <c r="M17" i="2"/>
  <c r="M7" i="2"/>
  <c r="H22" i="3" l="1"/>
  <c r="G24" i="3"/>
  <c r="N10" i="2" s="1"/>
  <c r="N9" i="2" s="1"/>
  <c r="N24" i="2" s="1"/>
  <c r="N13" i="2"/>
  <c r="M24" i="2"/>
  <c r="I8" i="3"/>
  <c r="H11" i="3"/>
  <c r="O6" i="2" s="1"/>
  <c r="R4" i="2"/>
  <c r="G5" i="3"/>
  <c r="N16" i="2"/>
  <c r="N17" i="2"/>
  <c r="N7" i="2"/>
  <c r="I22" i="3" l="1"/>
  <c r="H24" i="3"/>
  <c r="O10" i="2" s="1"/>
  <c r="O9" i="2" s="1"/>
  <c r="O24" i="2" s="1"/>
  <c r="O13" i="2"/>
  <c r="J8" i="3"/>
  <c r="I11" i="3"/>
  <c r="P6" i="2" s="1"/>
  <c r="H5" i="3"/>
  <c r="O16" i="2"/>
  <c r="O17" i="2"/>
  <c r="O7" i="2"/>
  <c r="J22" i="3" l="1"/>
  <c r="I24" i="3"/>
  <c r="P10" i="2" s="1"/>
  <c r="P9" i="2" s="1"/>
  <c r="P24" i="2" s="1"/>
  <c r="P13" i="2"/>
  <c r="K8" i="3"/>
  <c r="K11" i="3" s="1"/>
  <c r="J11" i="3"/>
  <c r="I5" i="3"/>
  <c r="P16" i="2"/>
  <c r="P17" i="2"/>
  <c r="P7" i="2"/>
  <c r="K22" i="3" l="1"/>
  <c r="K24" i="3" s="1"/>
  <c r="R10" i="2" s="1"/>
  <c r="J24" i="3"/>
  <c r="Q10" i="2" s="1"/>
  <c r="R6" i="2"/>
  <c r="Q6" i="2"/>
  <c r="C26" i="2"/>
  <c r="K5" i="3"/>
  <c r="J5" i="3"/>
  <c r="Q13" i="2" l="1"/>
  <c r="Q9" i="2"/>
  <c r="Q24" i="2" s="1"/>
  <c r="R13" i="2"/>
  <c r="R9" i="2"/>
  <c r="Q17" i="2"/>
  <c r="U6" i="2"/>
  <c r="R7" i="2"/>
  <c r="R16" i="2"/>
  <c r="Q16" i="2"/>
  <c r="R17" i="2"/>
  <c r="Q7" i="2"/>
  <c r="R24" i="2" l="1"/>
  <c r="U9" i="2"/>
  <c r="C7" i="6"/>
  <c r="D7" i="6"/>
  <c r="E7" i="6"/>
  <c r="F7" i="6"/>
  <c r="G7" i="6"/>
  <c r="H7" i="6"/>
  <c r="I7" i="6"/>
  <c r="C8" i="6"/>
  <c r="D8" i="6"/>
  <c r="E8" i="6"/>
  <c r="F8" i="6"/>
  <c r="G8" i="6"/>
  <c r="H8" i="6"/>
  <c r="I8" i="6"/>
  <c r="C9" i="6"/>
  <c r="D9" i="6"/>
  <c r="E9" i="6"/>
  <c r="F9" i="6"/>
  <c r="G9" i="6"/>
  <c r="H9" i="6"/>
  <c r="I9" i="6"/>
  <c r="L14" i="2"/>
  <c r="M14" i="2"/>
  <c r="N14" i="2"/>
  <c r="O14" i="2"/>
  <c r="P14" i="2"/>
  <c r="Q14" i="2"/>
  <c r="R14" i="2"/>
  <c r="L15" i="2"/>
  <c r="M15" i="2"/>
  <c r="N15" i="2"/>
  <c r="O15" i="2"/>
  <c r="P15" i="2"/>
  <c r="Q15" i="2"/>
  <c r="R15" i="2"/>
  <c r="L19" i="2"/>
  <c r="M19" i="2"/>
  <c r="N19" i="2"/>
  <c r="O19" i="2"/>
  <c r="P19" i="2"/>
  <c r="Q19" i="2"/>
  <c r="R19" i="2"/>
  <c r="L20" i="2"/>
  <c r="M20" i="2"/>
  <c r="N20" i="2"/>
  <c r="O20" i="2"/>
  <c r="P20" i="2"/>
  <c r="Q20" i="2"/>
  <c r="R20" i="2"/>
  <c r="L22" i="2"/>
  <c r="M22" i="2"/>
  <c r="N22" i="2"/>
  <c r="O22" i="2"/>
  <c r="P22" i="2"/>
  <c r="Q22" i="2"/>
  <c r="R22" i="2"/>
  <c r="L25" i="2"/>
  <c r="M25" i="2"/>
  <c r="N25" i="2"/>
  <c r="O25" i="2"/>
  <c r="P25" i="2"/>
  <c r="Q25" i="2"/>
  <c r="R25" i="2"/>
  <c r="L26" i="2"/>
  <c r="M26" i="2"/>
  <c r="N26" i="2"/>
  <c r="O26" i="2"/>
  <c r="P26" i="2"/>
  <c r="Q26" i="2"/>
  <c r="R26" i="2"/>
  <c r="C28" i="2"/>
  <c r="L28" i="2"/>
  <c r="M28" i="2"/>
  <c r="N28" i="2"/>
  <c r="O28" i="2"/>
  <c r="P28" i="2"/>
  <c r="Q28" i="2"/>
  <c r="R28" i="2"/>
  <c r="D33" i="2"/>
  <c r="D35" i="2"/>
  <c r="D36" i="2"/>
</calcChain>
</file>

<file path=xl/sharedStrings.xml><?xml version="1.0" encoding="utf-8"?>
<sst xmlns="http://schemas.openxmlformats.org/spreadsheetml/2006/main" count="86" uniqueCount="73">
  <si>
    <t>Uses</t>
  </si>
  <si>
    <t>Sources</t>
  </si>
  <si>
    <t>Equity</t>
  </si>
  <si>
    <t>IRR</t>
  </si>
  <si>
    <t>Net Debt</t>
  </si>
  <si>
    <t>EBITDA</t>
  </si>
  <si>
    <t>Capex</t>
  </si>
  <si>
    <t>Less:</t>
  </si>
  <si>
    <t>Taxes</t>
  </si>
  <si>
    <t>Free Cash Flow Available for Debt</t>
  </si>
  <si>
    <t>Less:  Debt Repayment</t>
  </si>
  <si>
    <t>Ending Debt Balance</t>
  </si>
  <si>
    <t>Exit Multiple</t>
  </si>
  <si>
    <t>Implied Equity Value</t>
  </si>
  <si>
    <t>Less: Debt</t>
  </si>
  <si>
    <t>Credit Statistics</t>
  </si>
  <si>
    <t>Debt / EBITDA</t>
  </si>
  <si>
    <t>EBITDA / Interest</t>
  </si>
  <si>
    <t>% Paydown</t>
  </si>
  <si>
    <t>Year 5 IRR Calc</t>
  </si>
  <si>
    <t>Entry</t>
  </si>
  <si>
    <t>Exit</t>
  </si>
  <si>
    <t>Year 5 Assumptions</t>
  </si>
  <si>
    <t>Debt</t>
  </si>
  <si>
    <t>Plus: Cash Balance</t>
  </si>
  <si>
    <t>ROIC</t>
  </si>
  <si>
    <t>Capex of sales %</t>
  </si>
  <si>
    <t>NWC of sales %</t>
  </si>
  <si>
    <t>Annual growth Base Case</t>
  </si>
  <si>
    <t>Total Uses</t>
  </si>
  <si>
    <t>Total Sources</t>
  </si>
  <si>
    <t>Acquistion Price (EV)</t>
  </si>
  <si>
    <t>of total %</t>
  </si>
  <si>
    <t>Input</t>
  </si>
  <si>
    <t>Please see business-valuation.net for a tutorial on how to use the LBO model. Good luck!</t>
  </si>
  <si>
    <t>Date:</t>
  </si>
  <si>
    <t>Author:</t>
  </si>
  <si>
    <t>Business-valuation.net</t>
  </si>
  <si>
    <t>Last Fiscal Year</t>
  </si>
  <si>
    <t>Corporate tax rate</t>
  </si>
  <si>
    <t>growth, %</t>
  </si>
  <si>
    <t>EV/EBITDA-multiple</t>
  </si>
  <si>
    <t>in millions</t>
  </si>
  <si>
    <t>Net sales</t>
  </si>
  <si>
    <t>Interest rate, % (financing cost debt)</t>
  </si>
  <si>
    <t>Active case</t>
  </si>
  <si>
    <t>margin, %</t>
  </si>
  <si>
    <t>Depreciation</t>
  </si>
  <si>
    <t>Interest expenses</t>
  </si>
  <si>
    <t>Increase/decrease in NWC</t>
  </si>
  <si>
    <t>Depreciation of sales %</t>
  </si>
  <si>
    <t>Equity value</t>
  </si>
  <si>
    <t>Base case</t>
  </si>
  <si>
    <t>High case</t>
  </si>
  <si>
    <t>Low case</t>
  </si>
  <si>
    <t>Net sales (active case)</t>
  </si>
  <si>
    <t>Annual growth High case</t>
  </si>
  <si>
    <t>Annual growth Low case</t>
  </si>
  <si>
    <t>Net sales development (in millions)</t>
  </si>
  <si>
    <t>EBITDA-change Base Case</t>
  </si>
  <si>
    <t>EBITDA-change High Case</t>
  </si>
  <si>
    <t>EBITDA-change Low Case</t>
  </si>
  <si>
    <t>EBITDA-margin, % (active case)</t>
  </si>
  <si>
    <t>EBITDA-margin development (%)</t>
  </si>
  <si>
    <t>Estimated EV-valuation</t>
  </si>
  <si>
    <t xml:space="preserve">Active Case </t>
  </si>
  <si>
    <t>Debt level multiple</t>
  </si>
  <si>
    <t>CAGR %</t>
  </si>
  <si>
    <t>Link to cell in other sheet</t>
  </si>
  <si>
    <t>Red input is actual numbers</t>
  </si>
  <si>
    <t>Light blue is an assumption you need to make</t>
  </si>
  <si>
    <t>This is a formula (do not change)</t>
  </si>
  <si>
    <t>Explaination different colours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</si>
</sst>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_);\(&quot;$&quot;#,##0\)"/>
    <numFmt numFmtId="165" formatCode="&quot;$&quot;#,##0.0_);\(&quot;$&quot;#,##0.0\)"/>
    <numFmt numFmtId="166" formatCode="0.0\x"/>
    <numFmt numFmtId="167" formatCode="0.0%"/>
    <numFmt numFmtId="168" formatCode="&quot;$&quot;#,##0.0"/>
    <numFmt numFmtId="169" formatCode="0.0%;\(0.0%\)"/>
    <numFmt numFmtId="170" formatCode="0%;\(0%\)"/>
    <numFmt numFmtId="171" formatCode="0.0\x;\(0.0\x\)"/>
    <numFmt numFmtId="172" formatCode="#,##0.0\ _k_r;\-#,##0.0\ _k_r"/>
    <numFmt numFmtId="173" formatCode="0.0"/>
    <numFmt numFmtId="174" formatCode="#,##0.0"/>
    <numFmt numFmtId="175" formatCode="0\A"/>
    <numFmt numFmtId="176" formatCode="0&quot;E&quot;"/>
    <numFmt numFmtId="177" formatCode="0&quot;A&quot;"/>
    <numFmt numFmtId="178" formatCode="0\E"/>
  </numFmts>
  <fonts count="32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24"/>
      <color rgb="FF048EB0"/>
      <name val="Arial'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color theme="1"/>
      <name val="Arial"/>
      <family val="2"/>
    </font>
    <font>
      <sz val="10"/>
      <color rgb="FF048EB0"/>
      <name val="Arial"/>
      <family val="2"/>
    </font>
    <font>
      <b/>
      <sz val="9"/>
      <color rgb="FF4D4D4D"/>
      <name val="Arial"/>
      <family val="2"/>
    </font>
    <font>
      <sz val="9"/>
      <color rgb="FF4D4D4D"/>
      <name val="Arial"/>
      <family val="2"/>
    </font>
    <font>
      <i/>
      <sz val="9"/>
      <color rgb="FF4D4D4D"/>
      <name val="Arial"/>
      <family val="2"/>
    </font>
    <font>
      <u/>
      <sz val="9"/>
      <color rgb="FF4D4D4D"/>
      <name val="Arial"/>
      <family val="2"/>
    </font>
    <font>
      <b/>
      <sz val="9"/>
      <color rgb="FF048EB0"/>
      <name val="Arial"/>
      <family val="2"/>
    </font>
    <font>
      <sz val="9"/>
      <color rgb="FF048EB0"/>
      <name val="Arial"/>
      <family val="2"/>
    </font>
    <font>
      <b/>
      <sz val="9"/>
      <color rgb="FFFF000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sz val="1"/>
      <name val="Arial"/>
      <family val="2"/>
    </font>
    <font>
      <sz val="1"/>
      <color rgb="FF4D4D4D"/>
      <name val="Arial"/>
      <family val="2"/>
    </font>
    <font>
      <b/>
      <sz val="1"/>
      <color rgb="FF4D4D4D"/>
      <name val="Arial"/>
      <family val="2"/>
    </font>
    <font>
      <i/>
      <sz val="1"/>
      <color rgb="FF4D4D4D"/>
      <name val="Arial"/>
      <family val="2"/>
    </font>
    <font>
      <i/>
      <sz val="9"/>
      <color rgb="FF008000"/>
      <name val="Arial"/>
      <family val="2"/>
    </font>
    <font>
      <sz val="9"/>
      <color rgb="FF0080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b/>
      <sz val="10"/>
      <name val="Arial"/>
      <family val="2"/>
    </font>
    <font>
      <b/>
      <sz val="12"/>
      <color rgb="FF4D4D4D"/>
      <name val="Arial"/>
      <family val="2"/>
    </font>
    <font>
      <sz val="10"/>
      <color rgb="FF4D4D4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48EB0"/>
        <bgColor indexed="64"/>
      </patternFill>
    </fill>
    <fill>
      <patternFill patternType="solid">
        <fgColor rgb="FFE6F9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4D4D4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thin">
        <color theme="0" tint="-0.499984740745262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5" fontId="4" fillId="3" borderId="0" xfId="0" applyNumberFormat="1" applyFont="1" applyFill="1" applyBorder="1" applyAlignment="1">
      <alignment horizontal="right" vertical="center" wrapText="1" readingOrder="1"/>
    </xf>
    <xf numFmtId="3" fontId="12" fillId="4" borderId="0" xfId="0" applyNumberFormat="1" applyFont="1" applyFill="1" applyBorder="1" applyAlignment="1">
      <alignment vertical="center"/>
    </xf>
    <xf numFmtId="174" fontId="12" fillId="4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75" fontId="12" fillId="3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right" vertical="center" wrapText="1" readingOrder="1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175" fontId="12" fillId="0" borderId="2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horizontal="right" vertical="center"/>
    </xf>
    <xf numFmtId="0" fontId="12" fillId="0" borderId="2" xfId="0" quotePrefix="1" applyFont="1" applyFill="1" applyBorder="1" applyAlignment="1">
      <alignment horizontal="right" vertical="center"/>
    </xf>
    <xf numFmtId="174" fontId="12" fillId="0" borderId="0" xfId="0" applyNumberFormat="1" applyFont="1" applyFill="1" applyBorder="1" applyAlignment="1">
      <alignment horizontal="right" vertical="center"/>
    </xf>
    <xf numFmtId="174" fontId="13" fillId="0" borderId="0" xfId="0" applyNumberFormat="1" applyFont="1" applyFill="1" applyBorder="1" applyAlignment="1">
      <alignment horizontal="right" vertical="center"/>
    </xf>
    <xf numFmtId="170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indent="1"/>
    </xf>
    <xf numFmtId="164" fontId="13" fillId="0" borderId="0" xfId="0" applyNumberFormat="1" applyFont="1" applyFill="1" applyBorder="1" applyAlignment="1">
      <alignment horizontal="right" vertical="center"/>
    </xf>
    <xf numFmtId="170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172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 wrapText="1" readingOrder="1"/>
    </xf>
    <xf numFmtId="9" fontId="13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right" vertical="center"/>
    </xf>
    <xf numFmtId="172" fontId="13" fillId="0" borderId="0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72" fontId="12" fillId="0" borderId="0" xfId="0" applyNumberFormat="1" applyFont="1" applyFill="1" applyBorder="1" applyAlignment="1">
      <alignment horizontal="right" vertical="center"/>
    </xf>
    <xf numFmtId="173" fontId="13" fillId="0" borderId="0" xfId="0" applyNumberFormat="1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left" vertical="center"/>
    </xf>
    <xf numFmtId="171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left" vertical="center"/>
    </xf>
    <xf numFmtId="167" fontId="13" fillId="2" borderId="0" xfId="0" applyNumberFormat="1" applyFont="1" applyFill="1" applyBorder="1" applyAlignment="1">
      <alignment horizontal="right" vertical="center"/>
    </xf>
    <xf numFmtId="166" fontId="13" fillId="0" borderId="2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174" fontId="12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 wrapText="1" readingOrder="1"/>
    </xf>
    <xf numFmtId="3" fontId="12" fillId="4" borderId="4" xfId="0" applyNumberFormat="1" applyFont="1" applyFill="1" applyBorder="1" applyAlignment="1">
      <alignment horizontal="left" vertical="center"/>
    </xf>
    <xf numFmtId="174" fontId="12" fillId="4" borderId="4" xfId="0" applyNumberFormat="1" applyFont="1" applyFill="1" applyBorder="1" applyAlignment="1">
      <alignment horizontal="right" vertical="center" wrapText="1" readingOrder="1"/>
    </xf>
    <xf numFmtId="167" fontId="12" fillId="4" borderId="0" xfId="0" applyNumberFormat="1" applyFont="1" applyFill="1" applyBorder="1" applyAlignment="1">
      <alignment vertic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0" xfId="0" applyNumberFormat="1" applyFont="1" applyFill="1" applyBorder="1"/>
    <xf numFmtId="3" fontId="13" fillId="2" borderId="0" xfId="0" applyNumberFormat="1" applyFont="1" applyFill="1" applyBorder="1"/>
    <xf numFmtId="3" fontId="13" fillId="2" borderId="0" xfId="0" applyNumberFormat="1" applyFont="1" applyFill="1" applyBorder="1" applyAlignment="1"/>
    <xf numFmtId="165" fontId="12" fillId="0" borderId="2" xfId="0" applyNumberFormat="1" applyFont="1" applyFill="1" applyBorder="1" applyAlignment="1">
      <alignment horizontal="left" vertical="center"/>
    </xf>
    <xf numFmtId="175" fontId="12" fillId="3" borderId="0" xfId="0" applyNumberFormat="1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167" fontId="17" fillId="4" borderId="0" xfId="0" applyNumberFormat="1" applyFont="1" applyFill="1" applyBorder="1" applyAlignment="1">
      <alignment horizontal="right" vertical="center"/>
    </xf>
    <xf numFmtId="166" fontId="17" fillId="4" borderId="0" xfId="0" applyNumberFormat="1" applyFont="1" applyFill="1" applyBorder="1" applyAlignment="1">
      <alignment horizontal="right" vertical="center"/>
    </xf>
    <xf numFmtId="174" fontId="17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9" fontId="11" fillId="4" borderId="1" xfId="0" applyNumberFormat="1" applyFont="1" applyFill="1" applyBorder="1" applyAlignment="1">
      <alignment vertical="center"/>
    </xf>
    <xf numFmtId="174" fontId="19" fillId="4" borderId="0" xfId="0" applyNumberFormat="1" applyFont="1" applyFill="1" applyBorder="1" applyAlignment="1">
      <alignment vertical="center"/>
    </xf>
    <xf numFmtId="174" fontId="20" fillId="0" borderId="0" xfId="0" applyNumberFormat="1" applyFont="1" applyFill="1" applyBorder="1" applyAlignment="1">
      <alignment horizontal="right" vertical="center" wrapText="1" readingOrder="1"/>
    </xf>
    <xf numFmtId="174" fontId="15" fillId="0" borderId="0" xfId="0" applyNumberFormat="1" applyFont="1" applyFill="1" applyBorder="1" applyAlignment="1">
      <alignment horizontal="right" vertical="center"/>
    </xf>
    <xf numFmtId="170" fontId="14" fillId="0" borderId="6" xfId="0" applyNumberFormat="1" applyFont="1" applyFill="1" applyBorder="1" applyAlignment="1">
      <alignment horizontal="right" vertical="center"/>
    </xf>
    <xf numFmtId="174" fontId="12" fillId="4" borderId="6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right" vertical="center"/>
    </xf>
    <xf numFmtId="174" fontId="13" fillId="0" borderId="6" xfId="0" applyNumberFormat="1" applyFont="1" applyFill="1" applyBorder="1" applyAlignment="1">
      <alignment horizontal="right" vertical="center"/>
    </xf>
    <xf numFmtId="174" fontId="12" fillId="0" borderId="6" xfId="0" applyNumberFormat="1" applyFont="1" applyFill="1" applyBorder="1" applyAlignment="1">
      <alignment horizontal="right" vertical="center"/>
    </xf>
    <xf numFmtId="174" fontId="13" fillId="0" borderId="7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175" fontId="12" fillId="3" borderId="0" xfId="0" applyNumberFormat="1" applyFont="1" applyFill="1" applyBorder="1" applyAlignment="1">
      <alignment horizontal="right" vertical="center" wrapText="1" indent="1" readingOrder="1"/>
    </xf>
    <xf numFmtId="175" fontId="12" fillId="0" borderId="2" xfId="0" applyNumberFormat="1" applyFont="1" applyFill="1" applyBorder="1" applyAlignment="1">
      <alignment horizontal="right" vertical="center" indent="1"/>
    </xf>
    <xf numFmtId="174" fontId="20" fillId="0" borderId="0" xfId="0" applyNumberFormat="1" applyFont="1" applyFill="1" applyBorder="1" applyAlignment="1">
      <alignment horizontal="right" vertical="center" wrapText="1" indent="1" readingOrder="1"/>
    </xf>
    <xf numFmtId="170" fontId="14" fillId="0" borderId="0" xfId="0" applyNumberFormat="1" applyFont="1" applyFill="1" applyBorder="1" applyAlignment="1">
      <alignment horizontal="right" vertical="center" indent="1"/>
    </xf>
    <xf numFmtId="174" fontId="19" fillId="4" borderId="0" xfId="0" applyNumberFormat="1" applyFont="1" applyFill="1" applyBorder="1" applyAlignment="1">
      <alignment horizontal="right" vertical="center" indent="1"/>
    </xf>
    <xf numFmtId="167" fontId="14" fillId="0" borderId="0" xfId="0" applyNumberFormat="1" applyFont="1" applyFill="1" applyBorder="1" applyAlignment="1">
      <alignment horizontal="right" vertical="center" wrapText="1" indent="1" readingOrder="1"/>
    </xf>
    <xf numFmtId="0" fontId="13" fillId="0" borderId="0" xfId="0" applyFont="1" applyFill="1" applyBorder="1" applyAlignment="1">
      <alignment horizontal="right" vertical="center" indent="1"/>
    </xf>
    <xf numFmtId="174" fontId="13" fillId="0" borderId="0" xfId="0" applyNumberFormat="1" applyFont="1" applyFill="1" applyBorder="1" applyAlignment="1">
      <alignment horizontal="right" vertical="center" indent="1"/>
    </xf>
    <xf numFmtId="174" fontId="12" fillId="0" borderId="0" xfId="0" applyNumberFormat="1" applyFont="1" applyFill="1" applyBorder="1" applyAlignment="1">
      <alignment horizontal="right" vertical="center" indent="1"/>
    </xf>
    <xf numFmtId="174" fontId="12" fillId="4" borderId="4" xfId="0" applyNumberFormat="1" applyFont="1" applyFill="1" applyBorder="1" applyAlignment="1">
      <alignment horizontal="right" vertical="center" wrapText="1" indent="1" readingOrder="1"/>
    </xf>
    <xf numFmtId="175" fontId="13" fillId="3" borderId="0" xfId="0" applyNumberFormat="1" applyFont="1" applyFill="1" applyBorder="1" applyAlignment="1">
      <alignment horizontal="right" vertical="center" wrapText="1" readingOrder="1"/>
    </xf>
    <xf numFmtId="173" fontId="13" fillId="0" borderId="6" xfId="0" applyNumberFormat="1" applyFont="1" applyFill="1" applyBorder="1" applyAlignment="1">
      <alignment horizontal="right" vertical="center"/>
    </xf>
    <xf numFmtId="173" fontId="14" fillId="0" borderId="0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 wrapText="1" readingOrder="1"/>
    </xf>
    <xf numFmtId="174" fontId="20" fillId="0" borderId="0" xfId="0" applyNumberFormat="1" applyFont="1" applyFill="1" applyBorder="1" applyAlignment="1">
      <alignment horizontal="right" vertical="center"/>
    </xf>
    <xf numFmtId="174" fontId="20" fillId="0" borderId="0" xfId="0" applyNumberFormat="1" applyFont="1" applyFill="1" applyBorder="1" applyAlignment="1">
      <alignment horizontal="right" vertical="center" indent="1"/>
    </xf>
    <xf numFmtId="169" fontId="14" fillId="0" borderId="6" xfId="0" applyNumberFormat="1" applyFont="1" applyFill="1" applyBorder="1" applyAlignment="1">
      <alignment horizontal="right" vertical="center"/>
    </xf>
    <xf numFmtId="0" fontId="21" fillId="0" borderId="2" xfId="0" applyFont="1" applyBorder="1"/>
    <xf numFmtId="0" fontId="21" fillId="0" borderId="0" xfId="0" applyFont="1"/>
    <xf numFmtId="0" fontId="5" fillId="2" borderId="0" xfId="0" applyFont="1" applyFill="1" applyBorder="1"/>
    <xf numFmtId="0" fontId="3" fillId="2" borderId="0" xfId="0" applyFont="1" applyFill="1" applyBorder="1"/>
    <xf numFmtId="0" fontId="13" fillId="2" borderId="0" xfId="0" applyFont="1" applyFill="1" applyBorder="1" applyAlignment="1">
      <alignment horizontal="left"/>
    </xf>
    <xf numFmtId="9" fontId="17" fillId="4" borderId="0" xfId="0" applyNumberFormat="1" applyFont="1" applyFill="1" applyBorder="1"/>
    <xf numFmtId="0" fontId="22" fillId="2" borderId="0" xfId="0" applyFont="1" applyFill="1" applyBorder="1"/>
    <xf numFmtId="176" fontId="2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174" fontId="13" fillId="0" borderId="0" xfId="0" applyNumberFormat="1" applyFont="1" applyFill="1" applyBorder="1"/>
    <xf numFmtId="174" fontId="13" fillId="0" borderId="0" xfId="0" applyNumberFormat="1" applyFont="1" applyFill="1" applyBorder="1" applyAlignment="1"/>
    <xf numFmtId="177" fontId="12" fillId="0" borderId="2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174" fontId="22" fillId="0" borderId="0" xfId="0" applyNumberFormat="1" applyFont="1" applyFill="1" applyBorder="1"/>
    <xf numFmtId="174" fontId="22" fillId="0" borderId="0" xfId="0" applyNumberFormat="1" applyFont="1" applyFill="1" applyBorder="1" applyAlignment="1"/>
    <xf numFmtId="176" fontId="12" fillId="0" borderId="2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/>
    <xf numFmtId="167" fontId="13" fillId="0" borderId="0" xfId="0" applyNumberFormat="1" applyFont="1" applyFill="1" applyBorder="1" applyAlignment="1"/>
    <xf numFmtId="167" fontId="22" fillId="0" borderId="0" xfId="0" applyNumberFormat="1" applyFont="1" applyFill="1" applyBorder="1"/>
    <xf numFmtId="167" fontId="22" fillId="0" borderId="0" xfId="0" applyNumberFormat="1" applyFont="1" applyFill="1" applyBorder="1" applyAlignment="1"/>
    <xf numFmtId="167" fontId="12" fillId="4" borderId="4" xfId="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/>
    <xf numFmtId="169" fontId="25" fillId="0" borderId="6" xfId="0" applyNumberFormat="1" applyFont="1" applyFill="1" applyBorder="1" applyAlignment="1">
      <alignment horizontal="right" vertical="center"/>
    </xf>
    <xf numFmtId="169" fontId="25" fillId="0" borderId="0" xfId="0" applyNumberFormat="1" applyFont="1" applyFill="1" applyBorder="1" applyAlignment="1">
      <alignment horizontal="right" vertical="center"/>
    </xf>
    <xf numFmtId="174" fontId="26" fillId="0" borderId="5" xfId="0" applyNumberFormat="1" applyFont="1" applyFill="1" applyBorder="1" applyAlignment="1">
      <alignment horizontal="right" vertical="center"/>
    </xf>
    <xf numFmtId="174" fontId="26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67" fontId="26" fillId="0" borderId="0" xfId="0" applyNumberFormat="1" applyFont="1" applyFill="1" applyBorder="1" applyAlignment="1">
      <alignment horizontal="right" vertical="center"/>
    </xf>
    <xf numFmtId="174" fontId="13" fillId="0" borderId="2" xfId="0" applyNumberFormat="1" applyFont="1" applyFill="1" applyBorder="1" applyAlignment="1">
      <alignment horizontal="right" vertical="center"/>
    </xf>
    <xf numFmtId="14" fontId="17" fillId="4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175" fontId="23" fillId="0" borderId="0" xfId="0" applyNumberFormat="1" applyFont="1" applyFill="1" applyBorder="1" applyAlignment="1">
      <alignment horizontal="right" vertical="center"/>
    </xf>
    <xf numFmtId="174" fontId="13" fillId="0" borderId="3" xfId="0" applyNumberFormat="1" applyFont="1" applyFill="1" applyBorder="1" applyAlignment="1">
      <alignment horizontal="right" vertical="center"/>
    </xf>
    <xf numFmtId="174" fontId="13" fillId="0" borderId="3" xfId="0" applyNumberFormat="1" applyFont="1" applyFill="1" applyBorder="1" applyAlignment="1">
      <alignment horizontal="right" vertical="center" indent="1"/>
    </xf>
    <xf numFmtId="174" fontId="12" fillId="0" borderId="15" xfId="0" applyNumberFormat="1" applyFont="1" applyFill="1" applyBorder="1" applyAlignment="1">
      <alignment horizontal="right" vertical="center"/>
    </xf>
    <xf numFmtId="172" fontId="12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right" vertical="center" indent="1"/>
    </xf>
    <xf numFmtId="178" fontId="12" fillId="0" borderId="2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0" xfId="0" applyFill="1"/>
    <xf numFmtId="0" fontId="0" fillId="4" borderId="0" xfId="0" applyFill="1"/>
    <xf numFmtId="0" fontId="27" fillId="0" borderId="0" xfId="0" applyFont="1"/>
    <xf numFmtId="0" fontId="28" fillId="0" borderId="0" xfId="0" applyFont="1"/>
    <xf numFmtId="0" fontId="11" fillId="4" borderId="0" xfId="0" applyFont="1" applyFill="1"/>
    <xf numFmtId="0" fontId="0" fillId="0" borderId="0" xfId="0" applyFill="1"/>
    <xf numFmtId="0" fontId="29" fillId="0" borderId="1" xfId="0" applyFont="1" applyBorder="1"/>
    <xf numFmtId="0" fontId="29" fillId="0" borderId="1" xfId="0" applyFont="1" applyFill="1" applyBorder="1"/>
    <xf numFmtId="0" fontId="21" fillId="0" borderId="1" xfId="0" applyFont="1" applyBorder="1"/>
    <xf numFmtId="0" fontId="21" fillId="0" borderId="1" xfId="0" applyFont="1" applyFill="1" applyBorder="1"/>
    <xf numFmtId="0" fontId="21" fillId="0" borderId="0" xfId="0" applyFont="1" applyFill="1"/>
    <xf numFmtId="0" fontId="30" fillId="0" borderId="1" xfId="0" applyFont="1" applyBorder="1"/>
    <xf numFmtId="0" fontId="31" fillId="0" borderId="0" xfId="0" applyFont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D4D4D"/>
      <color rgb="FF048EB0"/>
      <color rgb="FFFF0000"/>
      <color rgb="FF008000"/>
      <color rgb="FFE6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:L27"/>
  <sheetViews>
    <sheetView showGridLines="0" tabSelected="1" workbookViewId="0">
      <selection activeCell="A2" sqref="A2"/>
    </sheetView>
  </sheetViews>
  <sheetFormatPr defaultRowHeight="12.75"/>
  <cols>
    <col min="5" max="5" width="12.28515625" customWidth="1"/>
  </cols>
  <sheetData>
    <row r="14" spans="4:12">
      <c r="D14" s="137" t="s">
        <v>34</v>
      </c>
      <c r="E14" s="138"/>
      <c r="F14" s="138"/>
      <c r="G14" s="138"/>
      <c r="H14" s="138"/>
      <c r="I14" s="138"/>
      <c r="J14" s="138"/>
      <c r="K14" s="138"/>
      <c r="L14" s="139"/>
    </row>
    <row r="15" spans="4:12">
      <c r="D15" s="140"/>
      <c r="E15" s="141"/>
      <c r="F15" s="141"/>
      <c r="G15" s="141"/>
      <c r="H15" s="141"/>
      <c r="I15" s="141"/>
      <c r="J15" s="141"/>
      <c r="K15" s="141"/>
      <c r="L15" s="142"/>
    </row>
    <row r="16" spans="4:12">
      <c r="D16" s="140"/>
      <c r="E16" s="141"/>
      <c r="F16" s="141"/>
      <c r="G16" s="141"/>
      <c r="H16" s="141"/>
      <c r="I16" s="141"/>
      <c r="J16" s="141"/>
      <c r="K16" s="141"/>
      <c r="L16" s="142"/>
    </row>
    <row r="17" spans="4:12">
      <c r="D17" s="140"/>
      <c r="E17" s="141"/>
      <c r="F17" s="141"/>
      <c r="G17" s="141"/>
      <c r="H17" s="141"/>
      <c r="I17" s="141"/>
      <c r="J17" s="141"/>
      <c r="K17" s="141"/>
      <c r="L17" s="142"/>
    </row>
    <row r="18" spans="4:12">
      <c r="D18" s="140"/>
      <c r="E18" s="141"/>
      <c r="F18" s="141"/>
      <c r="G18" s="141"/>
      <c r="H18" s="141"/>
      <c r="I18" s="141"/>
      <c r="J18" s="141"/>
      <c r="K18" s="141"/>
      <c r="L18" s="142"/>
    </row>
    <row r="19" spans="4:12">
      <c r="D19" s="140"/>
      <c r="E19" s="141"/>
      <c r="F19" s="141"/>
      <c r="G19" s="141"/>
      <c r="H19" s="141"/>
      <c r="I19" s="141"/>
      <c r="J19" s="141"/>
      <c r="K19" s="141"/>
      <c r="L19" s="142"/>
    </row>
    <row r="20" spans="4:12">
      <c r="D20" s="140"/>
      <c r="E20" s="141"/>
      <c r="F20" s="141"/>
      <c r="G20" s="141"/>
      <c r="H20" s="141"/>
      <c r="I20" s="141"/>
      <c r="J20" s="141"/>
      <c r="K20" s="141"/>
      <c r="L20" s="142"/>
    </row>
    <row r="21" spans="4:12">
      <c r="D21" s="140"/>
      <c r="E21" s="141"/>
      <c r="F21" s="141"/>
      <c r="G21" s="141"/>
      <c r="H21" s="141"/>
      <c r="I21" s="141"/>
      <c r="J21" s="141"/>
      <c r="K21" s="141"/>
      <c r="L21" s="142"/>
    </row>
    <row r="22" spans="4:12">
      <c r="D22" s="140"/>
      <c r="E22" s="141"/>
      <c r="F22" s="141"/>
      <c r="G22" s="141"/>
      <c r="H22" s="141"/>
      <c r="I22" s="141"/>
      <c r="J22" s="141"/>
      <c r="K22" s="141"/>
      <c r="L22" s="142"/>
    </row>
    <row r="23" spans="4:12">
      <c r="D23" s="140"/>
      <c r="E23" s="141"/>
      <c r="F23" s="141"/>
      <c r="G23" s="141"/>
      <c r="H23" s="141"/>
      <c r="I23" s="141"/>
      <c r="J23" s="141"/>
      <c r="K23" s="141"/>
      <c r="L23" s="142"/>
    </row>
    <row r="24" spans="4:12">
      <c r="D24" s="143"/>
      <c r="E24" s="144"/>
      <c r="F24" s="144"/>
      <c r="G24" s="144"/>
      <c r="H24" s="144"/>
      <c r="I24" s="144"/>
      <c r="J24" s="144"/>
      <c r="K24" s="144"/>
      <c r="L24" s="145"/>
    </row>
    <row r="26" spans="4:12" ht="15">
      <c r="D26" s="1" t="s">
        <v>35</v>
      </c>
      <c r="E26" s="2">
        <v>43178</v>
      </c>
    </row>
    <row r="27" spans="4:12" ht="15">
      <c r="D27" s="1" t="s">
        <v>36</v>
      </c>
      <c r="E27" s="3" t="s">
        <v>37</v>
      </c>
    </row>
  </sheetData>
  <mergeCells count="1">
    <mergeCell ref="D14:L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showGridLines="0" workbookViewId="0">
      <selection activeCell="A2" sqref="A2"/>
    </sheetView>
  </sheetViews>
  <sheetFormatPr defaultRowHeight="12.75"/>
  <cols>
    <col min="2" max="2" width="16" bestFit="1" customWidth="1"/>
    <col min="3" max="3" width="16.42578125" customWidth="1"/>
  </cols>
  <sheetData>
    <row r="2" spans="2:3" ht="14.25">
      <c r="B2" s="4"/>
      <c r="C2" s="4"/>
    </row>
    <row r="3" spans="2:3">
      <c r="B3" s="5"/>
      <c r="C3" s="6" t="s">
        <v>33</v>
      </c>
    </row>
    <row r="4" spans="2:3">
      <c r="B4" s="7" t="s">
        <v>38</v>
      </c>
      <c r="C4" s="67">
        <v>2017</v>
      </c>
    </row>
    <row r="5" spans="2:3">
      <c r="B5" s="5" t="s">
        <v>39</v>
      </c>
      <c r="C5" s="68">
        <v>0.3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2"/>
  <sheetViews>
    <sheetView showGridLines="0" zoomScale="115" zoomScaleNormal="115" zoomScaleSheetLayoutView="40" workbookViewId="0">
      <selection activeCell="D33" sqref="D33"/>
    </sheetView>
  </sheetViews>
  <sheetFormatPr defaultRowHeight="12" outlineLevelCol="1"/>
  <cols>
    <col min="1" max="1" width="3.85546875" style="11" customWidth="1"/>
    <col min="2" max="2" width="31.140625" style="11" customWidth="1"/>
    <col min="3" max="3" width="12.140625" style="11" customWidth="1"/>
    <col min="4" max="4" width="11.85546875" style="11" customWidth="1"/>
    <col min="5" max="5" width="2.140625" style="11" customWidth="1"/>
    <col min="6" max="6" width="30.7109375" style="11" customWidth="1"/>
    <col min="7" max="10" width="7.28515625" style="11" hidden="1" customWidth="1" outlineLevel="1"/>
    <col min="11" max="11" width="8.7109375" style="78" customWidth="1" collapsed="1"/>
    <col min="12" max="18" width="7.28515625" style="11" customWidth="1"/>
    <col min="19" max="19" width="0.85546875" style="11" customWidth="1"/>
    <col min="20" max="20" width="10.7109375" style="11" bestFit="1" customWidth="1"/>
    <col min="21" max="21" width="11" style="11" customWidth="1"/>
    <col min="22" max="22" width="11.5703125" style="11" bestFit="1" customWidth="1"/>
    <col min="23" max="16384" width="9.140625" style="11"/>
  </cols>
  <sheetData>
    <row r="2" spans="2:21">
      <c r="C2" s="123" t="s">
        <v>45</v>
      </c>
      <c r="D2" s="127" t="s">
        <v>52</v>
      </c>
    </row>
    <row r="3" spans="2:21" s="12" customFormat="1">
      <c r="B3" s="13"/>
      <c r="F3" s="13"/>
      <c r="H3" s="13"/>
      <c r="J3" s="13"/>
      <c r="K3" s="79"/>
      <c r="L3" s="13"/>
      <c r="M3" s="13"/>
      <c r="P3" s="13"/>
      <c r="T3" s="13"/>
    </row>
    <row r="4" spans="2:21" s="12" customFormat="1">
      <c r="B4" s="14"/>
      <c r="C4" s="14"/>
      <c r="D4" s="14"/>
      <c r="E4" s="15"/>
      <c r="F4" s="14"/>
      <c r="G4" s="14"/>
      <c r="H4" s="14"/>
      <c r="I4" s="90"/>
      <c r="J4" s="14"/>
      <c r="K4" s="80"/>
      <c r="L4" s="93">
        <v>1</v>
      </c>
      <c r="M4" s="93">
        <f t="shared" ref="M4:R5" si="0">L4+1</f>
        <v>2</v>
      </c>
      <c r="N4" s="93">
        <f t="shared" si="0"/>
        <v>3</v>
      </c>
      <c r="O4" s="93">
        <f t="shared" si="0"/>
        <v>4</v>
      </c>
      <c r="P4" s="93">
        <f t="shared" si="0"/>
        <v>5</v>
      </c>
      <c r="Q4" s="93">
        <f t="shared" si="0"/>
        <v>6</v>
      </c>
      <c r="R4" s="93">
        <f t="shared" si="0"/>
        <v>7</v>
      </c>
      <c r="S4" s="16"/>
      <c r="T4" s="8" t="s">
        <v>67</v>
      </c>
      <c r="U4" s="8" t="s">
        <v>67</v>
      </c>
    </row>
    <row r="5" spans="2:21" s="12" customFormat="1">
      <c r="B5" s="17" t="s">
        <v>0</v>
      </c>
      <c r="C5" s="18"/>
      <c r="D5" s="18"/>
      <c r="F5" s="17" t="s">
        <v>42</v>
      </c>
      <c r="G5" s="19">
        <f t="shared" ref="G5:I5" si="1">H5-1</f>
        <v>2013</v>
      </c>
      <c r="H5" s="19">
        <f t="shared" si="1"/>
        <v>2014</v>
      </c>
      <c r="I5" s="19">
        <f t="shared" si="1"/>
        <v>2015</v>
      </c>
      <c r="J5" s="19">
        <f>K5-1</f>
        <v>2016</v>
      </c>
      <c r="K5" s="81">
        <f>Input!C4</f>
        <v>2017</v>
      </c>
      <c r="L5" s="20">
        <f>K5+1</f>
        <v>2018</v>
      </c>
      <c r="M5" s="20">
        <f t="shared" si="0"/>
        <v>2019</v>
      </c>
      <c r="N5" s="20">
        <f t="shared" si="0"/>
        <v>2020</v>
      </c>
      <c r="O5" s="20">
        <f t="shared" si="0"/>
        <v>2021</v>
      </c>
      <c r="P5" s="20">
        <f t="shared" si="0"/>
        <v>2022</v>
      </c>
      <c r="Q5" s="20">
        <f t="shared" si="0"/>
        <v>2023</v>
      </c>
      <c r="R5" s="20">
        <f t="shared" si="0"/>
        <v>2024</v>
      </c>
      <c r="S5" s="20"/>
      <c r="T5" s="21" t="str">
        <f>G5&amp;"-"&amp;K5&amp;"A"</f>
        <v>2013-2017A</v>
      </c>
      <c r="U5" s="21" t="str">
        <f>L5&amp;"-"&amp;R5&amp;"E"</f>
        <v>2018-2024E</v>
      </c>
    </row>
    <row r="6" spans="2:21" s="12" customFormat="1">
      <c r="B6" s="12" t="s">
        <v>31</v>
      </c>
      <c r="C6" s="66">
        <v>17.5</v>
      </c>
      <c r="D6" s="13"/>
      <c r="F6" s="12" t="s">
        <v>43</v>
      </c>
      <c r="G6" s="70">
        <v>10.589</v>
      </c>
      <c r="H6" s="70">
        <v>12.407</v>
      </c>
      <c r="I6" s="70">
        <v>13.741</v>
      </c>
      <c r="J6" s="70">
        <v>14.619</v>
      </c>
      <c r="K6" s="82">
        <v>14.544</v>
      </c>
      <c r="L6" s="121">
        <f>'Case selector'!E11</f>
        <v>14.980320000000001</v>
      </c>
      <c r="M6" s="122">
        <f>'Case selector'!F11</f>
        <v>15.429729600000002</v>
      </c>
      <c r="N6" s="122">
        <f>'Case selector'!G11</f>
        <v>15.892621488000001</v>
      </c>
      <c r="O6" s="122">
        <f>'Case selector'!H11</f>
        <v>16.369400132640003</v>
      </c>
      <c r="P6" s="122">
        <f>'Case selector'!I11</f>
        <v>16.860482136619204</v>
      </c>
      <c r="Q6" s="122">
        <f>'Case selector'!J11</f>
        <v>17.366296600717781</v>
      </c>
      <c r="R6" s="122">
        <f>'Case selector'!K11</f>
        <v>17.887285498739317</v>
      </c>
      <c r="S6" s="23"/>
      <c r="T6" s="36">
        <f>(K6/G6)^(1/4)-1</f>
        <v>8.2573094872722352E-2</v>
      </c>
      <c r="U6" s="36">
        <f>(R6/L6)^(1/6)-1</f>
        <v>3.0000000000000027E-2</v>
      </c>
    </row>
    <row r="7" spans="2:21" s="12" customFormat="1">
      <c r="B7" s="18" t="s">
        <v>41</v>
      </c>
      <c r="C7" s="45">
        <f>C6/K9</f>
        <v>6.6615911686334215</v>
      </c>
      <c r="D7" s="18"/>
      <c r="F7" s="25" t="s">
        <v>40</v>
      </c>
      <c r="G7" s="26"/>
      <c r="H7" s="34">
        <f t="shared" ref="H7:R7" si="2">H6/G6-1</f>
        <v>0.17168760033997543</v>
      </c>
      <c r="I7" s="34">
        <f t="shared" si="2"/>
        <v>0.10751994841621659</v>
      </c>
      <c r="J7" s="34">
        <f t="shared" si="2"/>
        <v>6.3896368532130099E-2</v>
      </c>
      <c r="K7" s="135">
        <f t="shared" si="2"/>
        <v>-5.1303098707161654E-3</v>
      </c>
      <c r="L7" s="96">
        <f t="shared" si="2"/>
        <v>3.0000000000000027E-2</v>
      </c>
      <c r="M7" s="34">
        <f t="shared" si="2"/>
        <v>3.0000000000000027E-2</v>
      </c>
      <c r="N7" s="34">
        <f t="shared" si="2"/>
        <v>3.0000000000000027E-2</v>
      </c>
      <c r="O7" s="34">
        <f t="shared" si="2"/>
        <v>3.0000000000000027E-2</v>
      </c>
      <c r="P7" s="34">
        <f t="shared" si="2"/>
        <v>3.0000000000000027E-2</v>
      </c>
      <c r="Q7" s="34">
        <f t="shared" si="2"/>
        <v>3.0000000000000027E-2</v>
      </c>
      <c r="R7" s="34">
        <f t="shared" si="2"/>
        <v>3.0000000000000027E-2</v>
      </c>
      <c r="S7" s="27"/>
      <c r="T7" s="28"/>
      <c r="U7" s="28"/>
    </row>
    <row r="8" spans="2:21" s="12" customFormat="1">
      <c r="B8" s="46" t="s">
        <v>29</v>
      </c>
      <c r="C8" s="47">
        <f>C6</f>
        <v>17.5</v>
      </c>
      <c r="D8" s="48"/>
      <c r="F8" s="15"/>
      <c r="G8" s="26"/>
      <c r="H8" s="27"/>
      <c r="I8" s="27"/>
      <c r="J8" s="27"/>
      <c r="K8" s="83"/>
      <c r="L8" s="72"/>
      <c r="M8" s="27"/>
      <c r="N8" s="27"/>
      <c r="O8" s="27"/>
      <c r="P8" s="27"/>
      <c r="Q8" s="27"/>
      <c r="R8" s="27"/>
      <c r="S8" s="27"/>
      <c r="T8" s="28"/>
      <c r="U8" s="28"/>
    </row>
    <row r="9" spans="2:21" s="12" customFormat="1">
      <c r="D9" s="29"/>
      <c r="E9" s="30"/>
      <c r="F9" s="9" t="s">
        <v>5</v>
      </c>
      <c r="G9" s="69">
        <v>1.1499999999999999</v>
      </c>
      <c r="H9" s="69">
        <v>1.712</v>
      </c>
      <c r="I9" s="69">
        <v>2.4039999999999999</v>
      </c>
      <c r="J9" s="69">
        <v>2.9350000000000001</v>
      </c>
      <c r="K9" s="84">
        <v>2.6270000000000002</v>
      </c>
      <c r="L9" s="73">
        <f>L10*L6</f>
        <v>2.7058100000000005</v>
      </c>
      <c r="M9" s="10">
        <f t="shared" ref="M9:R9" si="3">M10*M6</f>
        <v>2.7869843000000003</v>
      </c>
      <c r="N9" s="10">
        <f t="shared" si="3"/>
        <v>2.8705938290000006</v>
      </c>
      <c r="O9" s="10">
        <f t="shared" si="3"/>
        <v>2.9567116438700007</v>
      </c>
      <c r="P9" s="10">
        <f t="shared" si="3"/>
        <v>3.0454129931861007</v>
      </c>
      <c r="Q9" s="10">
        <f t="shared" si="3"/>
        <v>3.1367753829816842</v>
      </c>
      <c r="R9" s="10">
        <f t="shared" si="3"/>
        <v>3.2308786444711348</v>
      </c>
      <c r="S9" s="10"/>
      <c r="T9" s="53">
        <f>(K9/G9)^(1/4)-1</f>
        <v>0.22939249649222937</v>
      </c>
      <c r="U9" s="53">
        <f>(R9/L9)^(1/6)-1</f>
        <v>3.0000000000000027E-2</v>
      </c>
    </row>
    <row r="10" spans="2:21" s="12" customFormat="1">
      <c r="B10" s="17" t="s">
        <v>1</v>
      </c>
      <c r="C10" s="49" t="s">
        <v>42</v>
      </c>
      <c r="D10" s="49" t="s">
        <v>32</v>
      </c>
      <c r="F10" s="25" t="s">
        <v>46</v>
      </c>
      <c r="G10" s="31">
        <f>G9/G6</f>
        <v>0.10860326754178863</v>
      </c>
      <c r="H10" s="31">
        <f t="shared" ref="H10:K10" si="4">H9/H6</f>
        <v>0.13798662045619409</v>
      </c>
      <c r="I10" s="31">
        <f t="shared" si="4"/>
        <v>0.17495087693763189</v>
      </c>
      <c r="J10" s="31">
        <f t="shared" si="4"/>
        <v>0.20076612627402696</v>
      </c>
      <c r="K10" s="85">
        <f t="shared" si="4"/>
        <v>0.18062431243124313</v>
      </c>
      <c r="L10" s="119">
        <f>'Case selector'!E24</f>
        <v>0.18062431243124313</v>
      </c>
      <c r="M10" s="120">
        <f>'Case selector'!F24</f>
        <v>0.18062431243124313</v>
      </c>
      <c r="N10" s="120">
        <f>'Case selector'!G24</f>
        <v>0.18062431243124313</v>
      </c>
      <c r="O10" s="120">
        <f>'Case selector'!H24</f>
        <v>0.18062431243124313</v>
      </c>
      <c r="P10" s="120">
        <f>'Case selector'!I24</f>
        <v>0.18062431243124313</v>
      </c>
      <c r="Q10" s="120">
        <f>'Case selector'!J24</f>
        <v>0.18062431243124313</v>
      </c>
      <c r="R10" s="120">
        <f>'Case selector'!K24</f>
        <v>0.18062431243124313</v>
      </c>
      <c r="S10" s="27"/>
      <c r="T10" s="28"/>
      <c r="U10" s="28"/>
    </row>
    <row r="11" spans="2:21" s="12" customFormat="1">
      <c r="B11" s="12" t="s">
        <v>23</v>
      </c>
      <c r="C11" s="23">
        <f>C16*K9</f>
        <v>10.508000000000001</v>
      </c>
      <c r="D11" s="32">
        <f>C11/C13</f>
        <v>0.60045714285714291</v>
      </c>
      <c r="F11" s="15"/>
      <c r="G11" s="27"/>
      <c r="H11" s="27"/>
      <c r="I11" s="27"/>
      <c r="J11" s="27"/>
      <c r="K11" s="83"/>
      <c r="L11" s="72"/>
      <c r="M11" s="27"/>
      <c r="N11" s="27"/>
      <c r="O11" s="27"/>
      <c r="P11" s="27"/>
      <c r="Q11" s="27"/>
      <c r="R11" s="27"/>
      <c r="S11" s="27"/>
      <c r="T11" s="28"/>
      <c r="U11" s="28"/>
    </row>
    <row r="12" spans="2:21" s="12" customFormat="1">
      <c r="B12" s="12" t="s">
        <v>2</v>
      </c>
      <c r="C12" s="23">
        <f>+C8-C11</f>
        <v>6.9919999999999991</v>
      </c>
      <c r="D12" s="32">
        <f>C12/C13</f>
        <v>0.39954285714285709</v>
      </c>
      <c r="F12" s="13" t="s">
        <v>7</v>
      </c>
      <c r="G12" s="33"/>
      <c r="H12" s="33"/>
      <c r="I12" s="33"/>
      <c r="J12" s="33"/>
      <c r="K12" s="86"/>
      <c r="L12" s="74"/>
      <c r="M12" s="34"/>
      <c r="N12" s="34"/>
      <c r="O12" s="34"/>
      <c r="P12" s="34"/>
      <c r="Q12" s="34"/>
      <c r="R12" s="34"/>
      <c r="S12" s="34"/>
      <c r="T12" s="28"/>
      <c r="U12" s="28"/>
    </row>
    <row r="13" spans="2:21" s="12" customFormat="1">
      <c r="B13" s="46" t="s">
        <v>30</v>
      </c>
      <c r="C13" s="47">
        <f>C12+C11</f>
        <v>17.5</v>
      </c>
      <c r="D13" s="48"/>
      <c r="F13" s="12" t="s">
        <v>47</v>
      </c>
      <c r="G13" s="70">
        <v>-0.2</v>
      </c>
      <c r="H13" s="70">
        <v>-0.2</v>
      </c>
      <c r="I13" s="70">
        <v>-0.2</v>
      </c>
      <c r="J13" s="70">
        <v>-0.2</v>
      </c>
      <c r="K13" s="82">
        <v>-0.2</v>
      </c>
      <c r="L13" s="91">
        <f t="shared" ref="L13:R13" si="5">-$C$19*L6</f>
        <v>-0.20600000000000002</v>
      </c>
      <c r="M13" s="92">
        <f t="shared" si="5"/>
        <v>-0.21218000000000004</v>
      </c>
      <c r="N13" s="92">
        <f t="shared" si="5"/>
        <v>-0.21854540000000003</v>
      </c>
      <c r="O13" s="92">
        <f t="shared" si="5"/>
        <v>-0.22510176200000004</v>
      </c>
      <c r="P13" s="92">
        <f t="shared" si="5"/>
        <v>-0.23185481486000006</v>
      </c>
      <c r="Q13" s="92">
        <f t="shared" si="5"/>
        <v>-0.23881045930580008</v>
      </c>
      <c r="R13" s="92">
        <f t="shared" si="5"/>
        <v>-0.24597477308497412</v>
      </c>
      <c r="S13" s="34"/>
      <c r="T13" s="28"/>
      <c r="U13" s="28"/>
    </row>
    <row r="14" spans="2:21" s="12" customFormat="1">
      <c r="B14" s="13"/>
      <c r="C14" s="22"/>
      <c r="D14" s="28"/>
      <c r="E14" s="30"/>
      <c r="F14" s="12" t="s">
        <v>48</v>
      </c>
      <c r="G14" s="23"/>
      <c r="H14" s="23"/>
      <c r="I14" s="23"/>
      <c r="J14" s="23"/>
      <c r="K14" s="87"/>
      <c r="L14" s="75">
        <f t="shared" ref="L14:R14" ca="1" si="6">-$C$17*AVERAGE(K22:L22)</f>
        <v>-0.49871198473282452</v>
      </c>
      <c r="M14" s="23">
        <f t="shared" ca="1" si="6"/>
        <v>-0.44330384754773428</v>
      </c>
      <c r="N14" s="23">
        <f t="shared" ca="1" si="6"/>
        <v>-0.38372666483696655</v>
      </c>
      <c r="O14" s="23">
        <f t="shared" ca="1" si="6"/>
        <v>-0.31976606442115868</v>
      </c>
      <c r="P14" s="23">
        <f t="shared" ca="1" si="6"/>
        <v>-0.25119806175610093</v>
      </c>
      <c r="Q14" s="23">
        <f t="shared" ca="1" si="6"/>
        <v>-0.17778865823661896</v>
      </c>
      <c r="R14" s="23">
        <f t="shared" ca="1" si="6"/>
        <v>-9.929342341254413E-2</v>
      </c>
      <c r="S14" s="35"/>
      <c r="T14" s="28"/>
      <c r="U14" s="28"/>
    </row>
    <row r="15" spans="2:21" s="12" customFormat="1">
      <c r="B15" s="17" t="s">
        <v>33</v>
      </c>
      <c r="C15" s="18"/>
      <c r="D15" s="18"/>
      <c r="F15" s="12" t="s">
        <v>8</v>
      </c>
      <c r="G15" s="23"/>
      <c r="H15" s="23"/>
      <c r="I15" s="23"/>
      <c r="J15" s="23"/>
      <c r="K15" s="87"/>
      <c r="L15" s="75">
        <f ca="1">-$C$22*(L9+L14)</f>
        <v>-0.66212940458015279</v>
      </c>
      <c r="M15" s="23">
        <f t="shared" ref="M15:R15" ca="1" si="7">-$C$22*(M9+M14)</f>
        <v>-0.70310413573567976</v>
      </c>
      <c r="N15" s="23">
        <f t="shared" ca="1" si="7"/>
        <v>-0.74606014924891018</v>
      </c>
      <c r="O15" s="23">
        <f t="shared" ca="1" si="7"/>
        <v>-0.79108367383465261</v>
      </c>
      <c r="P15" s="23">
        <f t="shared" ca="1" si="7"/>
        <v>-0.83826447942899995</v>
      </c>
      <c r="Q15" s="23">
        <f t="shared" ca="1" si="7"/>
        <v>-0.88769601742351956</v>
      </c>
      <c r="R15" s="23">
        <f t="shared" ca="1" si="7"/>
        <v>-0.93947556631757723</v>
      </c>
      <c r="S15" s="35"/>
      <c r="T15" s="28"/>
      <c r="U15" s="28"/>
    </row>
    <row r="16" spans="2:21" s="12" customFormat="1">
      <c r="B16" s="12" t="s">
        <v>66</v>
      </c>
      <c r="C16" s="65">
        <v>4</v>
      </c>
      <c r="E16" s="32"/>
      <c r="F16" s="12" t="s">
        <v>6</v>
      </c>
      <c r="G16" s="94">
        <v>-0.2</v>
      </c>
      <c r="H16" s="94">
        <v>-0.2</v>
      </c>
      <c r="I16" s="94">
        <v>-0.2</v>
      </c>
      <c r="J16" s="94">
        <v>-0.2</v>
      </c>
      <c r="K16" s="95">
        <v>-0.2</v>
      </c>
      <c r="L16" s="75">
        <f t="shared" ref="L16:R16" si="8">L$6*-$C$20</f>
        <v>-0.20600000000000002</v>
      </c>
      <c r="M16" s="23">
        <f t="shared" si="8"/>
        <v>-0.21218000000000004</v>
      </c>
      <c r="N16" s="23">
        <f t="shared" si="8"/>
        <v>-0.21854540000000003</v>
      </c>
      <c r="O16" s="23">
        <f t="shared" si="8"/>
        <v>-0.22510176200000004</v>
      </c>
      <c r="P16" s="23">
        <f t="shared" si="8"/>
        <v>-0.23185481486000006</v>
      </c>
      <c r="Q16" s="23">
        <f t="shared" si="8"/>
        <v>-0.23881045930580008</v>
      </c>
      <c r="R16" s="23">
        <f t="shared" si="8"/>
        <v>-0.24597477308497412</v>
      </c>
      <c r="S16" s="35"/>
      <c r="T16" s="28"/>
      <c r="U16" s="28"/>
    </row>
    <row r="17" spans="2:21" s="12" customFormat="1">
      <c r="B17" s="12" t="s">
        <v>44</v>
      </c>
      <c r="C17" s="64">
        <v>0.05</v>
      </c>
      <c r="D17" s="28"/>
      <c r="F17" s="12" t="s">
        <v>49</v>
      </c>
      <c r="G17" s="23"/>
      <c r="H17" s="23"/>
      <c r="I17" s="23"/>
      <c r="J17" s="23"/>
      <c r="K17" s="87"/>
      <c r="L17" s="75">
        <f t="shared" ref="L17:R17" si="9">-((L6*$C$21)-($C$21*K6))</f>
        <v>-6.5447999999999951E-2</v>
      </c>
      <c r="M17" s="23">
        <f t="shared" si="9"/>
        <v>-6.7411440000000322E-2</v>
      </c>
      <c r="N17" s="23">
        <f t="shared" si="9"/>
        <v>-6.9433783200000043E-2</v>
      </c>
      <c r="O17" s="23">
        <f t="shared" si="9"/>
        <v>-7.1516796696000196E-2</v>
      </c>
      <c r="P17" s="23">
        <f t="shared" si="9"/>
        <v>-7.3662300596879948E-2</v>
      </c>
      <c r="Q17" s="23">
        <f t="shared" si="9"/>
        <v>-7.58721696147866E-2</v>
      </c>
      <c r="R17" s="23">
        <f t="shared" si="9"/>
        <v>-7.8148334703230571E-2</v>
      </c>
      <c r="S17" s="35"/>
      <c r="T17" s="28"/>
      <c r="U17" s="28"/>
    </row>
    <row r="18" spans="2:21" s="12" customFormat="1">
      <c r="C18" s="37"/>
      <c r="D18" s="28"/>
      <c r="G18" s="23"/>
      <c r="H18" s="23"/>
      <c r="I18" s="23"/>
      <c r="J18" s="23"/>
      <c r="K18" s="87"/>
      <c r="L18" s="75"/>
      <c r="M18" s="23"/>
      <c r="N18" s="23"/>
      <c r="O18" s="23"/>
      <c r="P18" s="23"/>
      <c r="Q18" s="23"/>
      <c r="R18" s="23"/>
      <c r="S18" s="35"/>
      <c r="T18" s="28"/>
      <c r="U18" s="28"/>
    </row>
    <row r="19" spans="2:21" s="12" customFormat="1">
      <c r="B19" s="12" t="s">
        <v>50</v>
      </c>
      <c r="C19" s="64">
        <f>-K13/K6</f>
        <v>1.3751375137513752E-2</v>
      </c>
      <c r="F19" s="46" t="s">
        <v>9</v>
      </c>
      <c r="G19" s="130"/>
      <c r="H19" s="130"/>
      <c r="I19" s="130"/>
      <c r="J19" s="130"/>
      <c r="K19" s="131"/>
      <c r="L19" s="132">
        <f t="shared" ref="L19:R19" ca="1" si="10">SUM(L13:L17,L9)</f>
        <v>1.0675206106870232</v>
      </c>
      <c r="M19" s="47">
        <f t="shared" ca="1" si="10"/>
        <v>1.1488048767165859</v>
      </c>
      <c r="N19" s="47">
        <f t="shared" ca="1" si="10"/>
        <v>1.2342824317141239</v>
      </c>
      <c r="O19" s="47">
        <f t="shared" ca="1" si="10"/>
        <v>1.3241415849181892</v>
      </c>
      <c r="P19" s="47">
        <f t="shared" ca="1" si="10"/>
        <v>1.4185785216841196</v>
      </c>
      <c r="Q19" s="47">
        <f t="shared" ca="1" si="10"/>
        <v>1.517797619095159</v>
      </c>
      <c r="R19" s="47">
        <f t="shared" ca="1" si="10"/>
        <v>1.6220117738678346</v>
      </c>
      <c r="S19" s="133"/>
      <c r="T19" s="134"/>
      <c r="U19" s="134"/>
    </row>
    <row r="20" spans="2:21" s="12" customFormat="1">
      <c r="B20" s="12" t="s">
        <v>26</v>
      </c>
      <c r="C20" s="64">
        <f>-K16/K6</f>
        <v>1.3751375137513752E-2</v>
      </c>
      <c r="D20" s="39"/>
      <c r="F20" s="12" t="s">
        <v>10</v>
      </c>
      <c r="G20" s="23"/>
      <c r="H20" s="23"/>
      <c r="I20" s="23"/>
      <c r="J20" s="23"/>
      <c r="K20" s="87"/>
      <c r="L20" s="75">
        <f t="shared" ref="L20:R20" ca="1" si="11">-MIN(L19,K22)</f>
        <v>-1.0675206106870232</v>
      </c>
      <c r="M20" s="23">
        <f t="shared" ca="1" si="11"/>
        <v>-1.1488048767165859</v>
      </c>
      <c r="N20" s="23">
        <f t="shared" ca="1" si="11"/>
        <v>-1.2342824317141239</v>
      </c>
      <c r="O20" s="23">
        <f t="shared" ca="1" si="11"/>
        <v>-1.3241415849181892</v>
      </c>
      <c r="P20" s="23">
        <f t="shared" ca="1" si="11"/>
        <v>-1.4185785216841196</v>
      </c>
      <c r="Q20" s="23">
        <f t="shared" ca="1" si="11"/>
        <v>-1.517797619095159</v>
      </c>
      <c r="R20" s="23">
        <f t="shared" ca="1" si="11"/>
        <v>-1.6220117738678346</v>
      </c>
      <c r="S20" s="35"/>
      <c r="T20" s="28"/>
      <c r="U20" s="28"/>
    </row>
    <row r="21" spans="2:21" s="12" customFormat="1">
      <c r="B21" s="12" t="s">
        <v>27</v>
      </c>
      <c r="C21" s="64">
        <v>0.15</v>
      </c>
      <c r="G21" s="23"/>
      <c r="H21" s="23"/>
      <c r="I21" s="23"/>
      <c r="J21" s="23"/>
      <c r="K21" s="87"/>
      <c r="L21" s="75"/>
      <c r="M21" s="23"/>
      <c r="N21" s="23"/>
      <c r="O21" s="23"/>
      <c r="P21" s="23"/>
      <c r="Q21" s="23"/>
      <c r="R21" s="23"/>
      <c r="S21" s="35"/>
      <c r="T21" s="28"/>
      <c r="U21" s="28"/>
    </row>
    <row r="22" spans="2:21" s="12" customFormat="1">
      <c r="B22" s="12" t="s">
        <v>39</v>
      </c>
      <c r="C22" s="124">
        <f>Input!C5</f>
        <v>0.3</v>
      </c>
      <c r="F22" s="13" t="s">
        <v>11</v>
      </c>
      <c r="G22" s="22"/>
      <c r="H22" s="23"/>
      <c r="I22" s="23"/>
      <c r="J22" s="23"/>
      <c r="K22" s="88">
        <f>C11</f>
        <v>10.508000000000001</v>
      </c>
      <c r="L22" s="76">
        <f t="shared" ref="L22:R22" ca="1" si="12">K22+L20</f>
        <v>9.4404793893129781</v>
      </c>
      <c r="M22" s="22">
        <f t="shared" ca="1" si="12"/>
        <v>8.2916745125963924</v>
      </c>
      <c r="N22" s="22">
        <f t="shared" ca="1" si="12"/>
        <v>7.0573920808822681</v>
      </c>
      <c r="O22" s="22">
        <f t="shared" ca="1" si="12"/>
        <v>5.7332504959640787</v>
      </c>
      <c r="P22" s="22">
        <f t="shared" ca="1" si="12"/>
        <v>4.3146719742799586</v>
      </c>
      <c r="Q22" s="22">
        <f t="shared" ca="1" si="12"/>
        <v>2.7968743551847997</v>
      </c>
      <c r="R22" s="22">
        <f t="shared" ca="1" si="12"/>
        <v>1.1748625813169651</v>
      </c>
      <c r="S22" s="38"/>
      <c r="T22" s="28"/>
      <c r="U22" s="28"/>
    </row>
    <row r="23" spans="2:21" s="12" customFormat="1">
      <c r="C23" s="13"/>
      <c r="D23" s="13"/>
      <c r="F23" s="13"/>
      <c r="G23" s="22"/>
      <c r="H23" s="23"/>
      <c r="I23" s="23"/>
      <c r="J23" s="23"/>
      <c r="K23" s="87"/>
      <c r="L23" s="75"/>
      <c r="M23" s="23"/>
      <c r="N23" s="23"/>
      <c r="O23" s="23"/>
      <c r="P23" s="23"/>
      <c r="Q23" s="23"/>
      <c r="R23" s="23"/>
      <c r="S23" s="35"/>
      <c r="T23" s="28"/>
      <c r="U23" s="28"/>
    </row>
    <row r="24" spans="2:21" s="12" customFormat="1">
      <c r="B24" s="14"/>
      <c r="C24" s="14"/>
      <c r="D24" s="14"/>
      <c r="F24" s="13" t="s">
        <v>64</v>
      </c>
      <c r="G24" s="22"/>
      <c r="H24" s="23"/>
      <c r="I24" s="23"/>
      <c r="J24" s="71"/>
      <c r="K24" s="88">
        <f t="shared" ref="K24:R24" si="13">$C$27*K9</f>
        <v>17.5</v>
      </c>
      <c r="L24" s="76">
        <f t="shared" si="13"/>
        <v>18.025000000000002</v>
      </c>
      <c r="M24" s="22">
        <f t="shared" si="13"/>
        <v>18.565750000000001</v>
      </c>
      <c r="N24" s="22">
        <f t="shared" si="13"/>
        <v>19.122722500000002</v>
      </c>
      <c r="O24" s="22">
        <f t="shared" si="13"/>
        <v>19.696404175000001</v>
      </c>
      <c r="P24" s="22">
        <f t="shared" si="13"/>
        <v>20.287296300250002</v>
      </c>
      <c r="Q24" s="22">
        <f t="shared" si="13"/>
        <v>20.895915189257508</v>
      </c>
      <c r="R24" s="22">
        <f t="shared" si="13"/>
        <v>21.522792644935233</v>
      </c>
      <c r="S24" s="38"/>
      <c r="T24" s="28"/>
      <c r="U24" s="28"/>
    </row>
    <row r="25" spans="2:21" s="12" customFormat="1">
      <c r="B25" s="17" t="s">
        <v>22</v>
      </c>
      <c r="C25" s="49" t="s">
        <v>42</v>
      </c>
      <c r="D25" s="59"/>
      <c r="F25" s="12" t="s">
        <v>14</v>
      </c>
      <c r="G25" s="22"/>
      <c r="H25" s="23"/>
      <c r="I25" s="23"/>
      <c r="J25" s="23"/>
      <c r="K25" s="87">
        <f t="shared" ref="K25" si="14">-K22</f>
        <v>-10.508000000000001</v>
      </c>
      <c r="L25" s="75">
        <f t="shared" ref="L25:R25" ca="1" si="15">-L22</f>
        <v>-9.4404793893129781</v>
      </c>
      <c r="M25" s="23">
        <f t="shared" ca="1" si="15"/>
        <v>-8.2916745125963924</v>
      </c>
      <c r="N25" s="23">
        <f t="shared" ca="1" si="15"/>
        <v>-7.0573920808822681</v>
      </c>
      <c r="O25" s="23">
        <f t="shared" ca="1" si="15"/>
        <v>-5.7332504959640787</v>
      </c>
      <c r="P25" s="23">
        <f t="shared" ca="1" si="15"/>
        <v>-4.3146719742799586</v>
      </c>
      <c r="Q25" s="23">
        <f t="shared" ca="1" si="15"/>
        <v>-2.7968743551847997</v>
      </c>
      <c r="R25" s="23">
        <f t="shared" ca="1" si="15"/>
        <v>-1.1748625813169651</v>
      </c>
      <c r="S25" s="35"/>
      <c r="T25" s="28"/>
      <c r="U25" s="28"/>
    </row>
    <row r="26" spans="2:21" s="12" customFormat="1">
      <c r="B26" s="12" t="s">
        <v>5</v>
      </c>
      <c r="C26" s="23">
        <f>P9</f>
        <v>3.0454129931861007</v>
      </c>
      <c r="F26" s="12" t="s">
        <v>24</v>
      </c>
      <c r="G26" s="22"/>
      <c r="H26" s="23"/>
      <c r="I26" s="23"/>
      <c r="J26" s="23"/>
      <c r="K26" s="87">
        <v>0</v>
      </c>
      <c r="L26" s="75">
        <f t="shared" ref="L26:R26" ca="1" si="16">L20+L19+K26</f>
        <v>0</v>
      </c>
      <c r="M26" s="23">
        <f t="shared" ca="1" si="16"/>
        <v>0</v>
      </c>
      <c r="N26" s="23">
        <f t="shared" ca="1" si="16"/>
        <v>0</v>
      </c>
      <c r="O26" s="23">
        <f t="shared" ca="1" si="16"/>
        <v>0</v>
      </c>
      <c r="P26" s="23">
        <f t="shared" ca="1" si="16"/>
        <v>0</v>
      </c>
      <c r="Q26" s="23">
        <f t="shared" ca="1" si="16"/>
        <v>0</v>
      </c>
      <c r="R26" s="23">
        <f t="shared" ca="1" si="16"/>
        <v>0</v>
      </c>
      <c r="S26" s="35"/>
    </row>
    <row r="27" spans="2:21" s="12" customFormat="1">
      <c r="B27" s="12" t="s">
        <v>12</v>
      </c>
      <c r="C27" s="41">
        <f>C7</f>
        <v>6.6615911686334215</v>
      </c>
      <c r="G27" s="22"/>
      <c r="H27" s="23"/>
      <c r="I27" s="23"/>
      <c r="J27" s="23"/>
      <c r="K27" s="87"/>
      <c r="L27" s="77"/>
      <c r="M27" s="23"/>
      <c r="N27" s="23"/>
      <c r="O27" s="23"/>
      <c r="P27" s="23"/>
      <c r="Q27" s="23"/>
      <c r="R27" s="23"/>
      <c r="S27" s="35"/>
    </row>
    <row r="28" spans="2:21" s="12" customFormat="1">
      <c r="B28" s="18" t="s">
        <v>4</v>
      </c>
      <c r="C28" s="125">
        <f ca="1">P22-P26</f>
        <v>4.3146719742799586</v>
      </c>
      <c r="D28" s="18"/>
      <c r="F28" s="51" t="s">
        <v>13</v>
      </c>
      <c r="G28" s="52"/>
      <c r="H28" s="52"/>
      <c r="I28" s="52"/>
      <c r="J28" s="52"/>
      <c r="K28" s="89">
        <f t="shared" ref="K28:R28" si="17">SUM(K24:K26)</f>
        <v>6.9919999999999991</v>
      </c>
      <c r="L28" s="52">
        <f t="shared" ca="1" si="17"/>
        <v>8.584520610687024</v>
      </c>
      <c r="M28" s="52">
        <f t="shared" ca="1" si="17"/>
        <v>10.274075487403609</v>
      </c>
      <c r="N28" s="52">
        <f t="shared" ca="1" si="17"/>
        <v>12.065330419117734</v>
      </c>
      <c r="O28" s="52">
        <f t="shared" ca="1" si="17"/>
        <v>13.963153679035923</v>
      </c>
      <c r="P28" s="52">
        <f t="shared" ca="1" si="17"/>
        <v>15.972624325970044</v>
      </c>
      <c r="Q28" s="52">
        <f t="shared" ca="1" si="17"/>
        <v>18.09904083407271</v>
      </c>
      <c r="R28" s="52">
        <f t="shared" ca="1" si="17"/>
        <v>20.347930063618268</v>
      </c>
      <c r="S28" s="52"/>
      <c r="T28" s="50"/>
      <c r="U28" s="50"/>
    </row>
    <row r="29" spans="2:21" s="12" customFormat="1">
      <c r="C29" s="22"/>
      <c r="H29" s="40"/>
      <c r="K29" s="86"/>
    </row>
    <row r="30" spans="2:21" s="12" customFormat="1">
      <c r="B30" s="60"/>
      <c r="C30" s="14"/>
      <c r="D30" s="14"/>
      <c r="H30" s="40"/>
      <c r="K30" s="86"/>
    </row>
    <row r="31" spans="2:21" s="12" customFormat="1">
      <c r="B31" s="17" t="s">
        <v>19</v>
      </c>
      <c r="C31" s="18"/>
      <c r="D31" s="17" t="s">
        <v>51</v>
      </c>
      <c r="H31" s="40"/>
      <c r="K31" s="86"/>
    </row>
    <row r="32" spans="2:21" s="12" customFormat="1">
      <c r="B32" s="12" t="s">
        <v>20</v>
      </c>
      <c r="C32" s="126">
        <v>42916</v>
      </c>
      <c r="D32" s="23">
        <f>-C12</f>
        <v>-6.9919999999999991</v>
      </c>
      <c r="H32" s="40"/>
      <c r="K32" s="86"/>
    </row>
    <row r="33" spans="2:11" s="12" customFormat="1">
      <c r="B33" s="12" t="s">
        <v>21</v>
      </c>
      <c r="C33" s="126">
        <v>44926</v>
      </c>
      <c r="D33" s="23">
        <f ca="1">P28</f>
        <v>15.972624325970044</v>
      </c>
      <c r="H33" s="40"/>
      <c r="K33" s="86"/>
    </row>
    <row r="34" spans="2:11" s="12" customFormat="1">
      <c r="B34" s="62"/>
      <c r="C34" s="62"/>
      <c r="D34" s="62"/>
      <c r="E34" s="39"/>
      <c r="H34" s="40"/>
      <c r="K34" s="86"/>
    </row>
    <row r="35" spans="2:11" s="12" customFormat="1">
      <c r="B35" s="61"/>
      <c r="C35" s="9" t="s">
        <v>3</v>
      </c>
      <c r="D35" s="53">
        <f ca="1">IFERROR(XIRR(D32:D33,C32:C33),"neg.")</f>
        <v>0.16185159087181092</v>
      </c>
      <c r="H35" s="40"/>
      <c r="K35" s="86"/>
    </row>
    <row r="36" spans="2:11" s="12" customFormat="1">
      <c r="B36" s="61"/>
      <c r="C36" s="9" t="s">
        <v>25</v>
      </c>
      <c r="D36" s="63">
        <f ca="1">D33/-D32</f>
        <v>2.2844142342634504</v>
      </c>
      <c r="H36" s="40"/>
      <c r="K36" s="86"/>
    </row>
    <row r="37" spans="2:11" s="12" customFormat="1">
      <c r="K37" s="86"/>
    </row>
    <row r="38" spans="2:11" s="12" customFormat="1">
      <c r="K38" s="86"/>
    </row>
    <row r="39" spans="2:11" s="12" customFormat="1">
      <c r="F39" s="39"/>
      <c r="K39" s="86"/>
    </row>
    <row r="40" spans="2:11" s="12" customFormat="1">
      <c r="K40" s="86"/>
    </row>
    <row r="41" spans="2:11" s="12" customFormat="1">
      <c r="K41" s="86"/>
    </row>
    <row r="42" spans="2:11" s="12" customFormat="1">
      <c r="K42" s="86"/>
    </row>
    <row r="43" spans="2:11" s="12" customFormat="1">
      <c r="K43" s="86"/>
    </row>
    <row r="44" spans="2:11" s="12" customFormat="1">
      <c r="K44" s="86"/>
    </row>
    <row r="45" spans="2:11" s="12" customFormat="1">
      <c r="K45" s="86"/>
    </row>
    <row r="46" spans="2:11" s="12" customFormat="1">
      <c r="K46" s="86"/>
    </row>
    <row r="47" spans="2:11" s="12" customFormat="1">
      <c r="B47" s="35"/>
      <c r="C47" s="37"/>
      <c r="D47" s="37"/>
      <c r="K47" s="86"/>
    </row>
    <row r="48" spans="2:11" s="12" customFormat="1">
      <c r="B48" s="37"/>
      <c r="K48" s="86"/>
    </row>
    <row r="49" spans="2:11" s="12" customFormat="1">
      <c r="B49" s="37"/>
      <c r="E49" s="42"/>
      <c r="F49" s="43"/>
      <c r="K49" s="86"/>
    </row>
    <row r="50" spans="2:11" s="12" customFormat="1">
      <c r="B50" s="44"/>
      <c r="C50" s="11"/>
      <c r="D50" s="11"/>
      <c r="K50" s="86"/>
    </row>
    <row r="51" spans="2:11" s="12" customFormat="1">
      <c r="B51" s="44"/>
      <c r="C51" s="11"/>
      <c r="D51" s="11"/>
      <c r="K51" s="86"/>
    </row>
    <row r="52" spans="2:11">
      <c r="B52" s="44"/>
    </row>
  </sheetData>
  <phoneticPr fontId="2" type="noConversion"/>
  <conditionalFormatting sqref="D2">
    <cfRule type="containsText" dxfId="5" priority="1" operator="containsText" text="Low case">
      <formula>NOT(ISERROR(SEARCH("Low case",D2)))</formula>
    </cfRule>
    <cfRule type="containsText" dxfId="4" priority="2" operator="containsText" text="High case">
      <formula>NOT(ISERROR(SEARCH("High case",D2)))</formula>
    </cfRule>
    <cfRule type="containsText" dxfId="3" priority="3" operator="containsText" text="Base case">
      <formula>NOT(ISERROR(SEARCH("Base case",D2)))</formula>
    </cfRule>
  </conditionalFormatting>
  <pageMargins left="0.5" right="0.5" top="0.25" bottom="0.4" header="0.5" footer="0.17"/>
  <pageSetup scale="6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'Case selector'!$B$38:$B$40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showGridLines="0" zoomScale="115" zoomScaleNormal="115" workbookViewId="0">
      <selection activeCell="D11" sqref="D11"/>
    </sheetView>
  </sheetViews>
  <sheetFormatPr defaultRowHeight="12"/>
  <cols>
    <col min="1" max="1" width="9.140625" style="54"/>
    <col min="2" max="2" width="29" style="54" bestFit="1" customWidth="1"/>
    <col min="3" max="3" width="13.140625" style="54" customWidth="1"/>
    <col min="4" max="11" width="11.28515625" style="54" bestFit="1" customWidth="1"/>
    <col min="12" max="16384" width="9.140625" style="54"/>
  </cols>
  <sheetData>
    <row r="2" spans="2:11">
      <c r="B2" s="128" t="s">
        <v>65</v>
      </c>
      <c r="C2" s="127" t="str">
        <f>'LBO Model'!D2</f>
        <v>Base case</v>
      </c>
    </row>
    <row r="3" spans="2:11">
      <c r="B3" s="55"/>
      <c r="C3" s="56"/>
    </row>
    <row r="4" spans="2:11"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2:11">
      <c r="B5" s="112" t="s">
        <v>58</v>
      </c>
      <c r="C5" s="20"/>
      <c r="D5" s="108">
        <f>'LBO Model'!K5</f>
        <v>2017</v>
      </c>
      <c r="E5" s="20">
        <f>'LBO Model'!L5</f>
        <v>2018</v>
      </c>
      <c r="F5" s="20">
        <f>'LBO Model'!M5</f>
        <v>2019</v>
      </c>
      <c r="G5" s="20">
        <f>'LBO Model'!N5</f>
        <v>2020</v>
      </c>
      <c r="H5" s="20">
        <f>'LBO Model'!O5</f>
        <v>2021</v>
      </c>
      <c r="I5" s="20">
        <f>'LBO Model'!P5</f>
        <v>2022</v>
      </c>
      <c r="J5" s="20">
        <f>'LBO Model'!Q5</f>
        <v>2023</v>
      </c>
      <c r="K5" s="20">
        <f>'LBO Model'!R5</f>
        <v>2024</v>
      </c>
    </row>
    <row r="6" spans="2:11" s="103" customFormat="1" ht="5.25"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2:11">
      <c r="B7" s="118" t="s">
        <v>53</v>
      </c>
      <c r="C7" s="105"/>
      <c r="D7" s="106">
        <f>D8</f>
        <v>14.544</v>
      </c>
      <c r="E7" s="106">
        <f t="shared" ref="E7:K7" si="0">D7*(1+$D$13)</f>
        <v>15.2712</v>
      </c>
      <c r="F7" s="107">
        <f t="shared" si="0"/>
        <v>16.034760000000002</v>
      </c>
      <c r="G7" s="107">
        <f t="shared" si="0"/>
        <v>16.836498000000002</v>
      </c>
      <c r="H7" s="107">
        <f t="shared" si="0"/>
        <v>17.678322900000005</v>
      </c>
      <c r="I7" s="107">
        <f t="shared" si="0"/>
        <v>18.562239045000005</v>
      </c>
      <c r="J7" s="107">
        <f t="shared" si="0"/>
        <v>19.490350997250008</v>
      </c>
      <c r="K7" s="107">
        <f t="shared" si="0"/>
        <v>20.464868547112509</v>
      </c>
    </row>
    <row r="8" spans="2:11">
      <c r="B8" s="118" t="s">
        <v>52</v>
      </c>
      <c r="C8" s="105"/>
      <c r="D8" s="106">
        <f>'LBO Model'!K6</f>
        <v>14.544</v>
      </c>
      <c r="E8" s="106">
        <f t="shared" ref="E8:K8" si="1">D8*(1+$D$14)</f>
        <v>14.980320000000001</v>
      </c>
      <c r="F8" s="107">
        <f t="shared" si="1"/>
        <v>15.429729600000002</v>
      </c>
      <c r="G8" s="107">
        <f t="shared" si="1"/>
        <v>15.892621488000001</v>
      </c>
      <c r="H8" s="107">
        <f t="shared" si="1"/>
        <v>16.369400132640003</v>
      </c>
      <c r="I8" s="107">
        <f t="shared" si="1"/>
        <v>16.860482136619204</v>
      </c>
      <c r="J8" s="107">
        <f t="shared" si="1"/>
        <v>17.366296600717781</v>
      </c>
      <c r="K8" s="107">
        <f t="shared" si="1"/>
        <v>17.887285498739317</v>
      </c>
    </row>
    <row r="9" spans="2:11">
      <c r="B9" s="118" t="s">
        <v>54</v>
      </c>
      <c r="C9" s="105"/>
      <c r="D9" s="106">
        <f>D8</f>
        <v>14.544</v>
      </c>
      <c r="E9" s="106">
        <f t="shared" ref="E9:K9" si="2">D9*(1+$D$15)</f>
        <v>14.83488</v>
      </c>
      <c r="F9" s="107">
        <f t="shared" si="2"/>
        <v>15.1315776</v>
      </c>
      <c r="G9" s="107">
        <f t="shared" si="2"/>
        <v>15.434209152000001</v>
      </c>
      <c r="H9" s="107">
        <f t="shared" si="2"/>
        <v>15.742893335040002</v>
      </c>
      <c r="I9" s="107">
        <f t="shared" si="2"/>
        <v>16.057751201740803</v>
      </c>
      <c r="J9" s="107">
        <f t="shared" si="2"/>
        <v>16.378906225775619</v>
      </c>
      <c r="K9" s="107">
        <f t="shared" si="2"/>
        <v>16.706484350291131</v>
      </c>
    </row>
    <row r="10" spans="2:11" s="103" customFormat="1" ht="5.25">
      <c r="B10" s="109"/>
      <c r="C10" s="109"/>
      <c r="D10" s="110"/>
      <c r="E10" s="110"/>
      <c r="F10" s="111"/>
      <c r="G10" s="111"/>
      <c r="H10" s="111"/>
      <c r="I10" s="111"/>
      <c r="J10" s="111"/>
      <c r="K10" s="111"/>
    </row>
    <row r="11" spans="2:11">
      <c r="B11" s="51" t="s">
        <v>55</v>
      </c>
      <c r="C11" s="50"/>
      <c r="D11" s="52">
        <f>IF('LBO Model'!$D$2="Base case",D8,IF('LBO Model'!$D$2="High case",D7,D9))</f>
        <v>14.544</v>
      </c>
      <c r="E11" s="52">
        <f>IF('LBO Model'!$D$2="Base case",E8,IF('LBO Model'!$D$2="High case",E7,E9))</f>
        <v>14.980320000000001</v>
      </c>
      <c r="F11" s="52">
        <f>IF('LBO Model'!$D$2="Base case",F8,IF('LBO Model'!$D$2="High case",F7,F9))</f>
        <v>15.429729600000002</v>
      </c>
      <c r="G11" s="52">
        <f>IF('LBO Model'!$D$2="Base case",G8,IF('LBO Model'!$D$2="High case",G7,G9))</f>
        <v>15.892621488000001</v>
      </c>
      <c r="H11" s="52">
        <f>IF('LBO Model'!$D$2="Base case",H8,IF('LBO Model'!$D$2="High case",H7,H9))</f>
        <v>16.369400132640003</v>
      </c>
      <c r="I11" s="52">
        <f>IF('LBO Model'!$D$2="Base case",I8,IF('LBO Model'!$D$2="High case",I7,I9))</f>
        <v>16.860482136619204</v>
      </c>
      <c r="J11" s="52">
        <f>IF('LBO Model'!$D$2="Base case",J8,IF('LBO Model'!$D$2="High case",J7,J9))</f>
        <v>17.366296600717781</v>
      </c>
      <c r="K11" s="52">
        <f>IF('LBO Model'!$D$2="Base case",K8,IF('LBO Model'!$D$2="High case",K7,K9))</f>
        <v>17.887285498739317</v>
      </c>
    </row>
    <row r="12" spans="2:11">
      <c r="D12" s="57"/>
      <c r="E12" s="57"/>
      <c r="F12" s="58"/>
      <c r="G12" s="58"/>
      <c r="H12" s="58"/>
      <c r="I12" s="58"/>
      <c r="J12" s="58"/>
      <c r="K12" s="58"/>
    </row>
    <row r="13" spans="2:11">
      <c r="B13" s="101" t="s">
        <v>56</v>
      </c>
      <c r="D13" s="102">
        <v>0.05</v>
      </c>
      <c r="E13" s="57"/>
      <c r="F13" s="58"/>
      <c r="G13" s="58"/>
      <c r="H13" s="58"/>
      <c r="I13" s="58"/>
      <c r="J13" s="58"/>
      <c r="K13" s="58"/>
    </row>
    <row r="14" spans="2:11">
      <c r="B14" s="101" t="s">
        <v>28</v>
      </c>
      <c r="D14" s="102">
        <v>0.03</v>
      </c>
      <c r="E14" s="57"/>
      <c r="F14" s="58"/>
      <c r="G14" s="58"/>
      <c r="H14" s="58"/>
      <c r="I14" s="58"/>
      <c r="J14" s="58"/>
      <c r="K14" s="58"/>
    </row>
    <row r="15" spans="2:11">
      <c r="B15" s="101" t="s">
        <v>57</v>
      </c>
      <c r="D15" s="102">
        <v>0.02</v>
      </c>
      <c r="E15" s="57"/>
      <c r="F15" s="58"/>
      <c r="G15" s="58"/>
      <c r="H15" s="58"/>
      <c r="I15" s="58"/>
      <c r="J15" s="58"/>
      <c r="K15" s="58"/>
    </row>
    <row r="16" spans="2:11">
      <c r="B16" s="55"/>
    </row>
    <row r="17" spans="2:11"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2:11">
      <c r="B18" s="112" t="s">
        <v>63</v>
      </c>
      <c r="C18" s="20"/>
      <c r="D18" s="108">
        <f>'LBO Model'!K5</f>
        <v>2017</v>
      </c>
      <c r="E18" s="20">
        <f>'LBO Model'!L5</f>
        <v>2018</v>
      </c>
      <c r="F18" s="20">
        <f>'LBO Model'!M5</f>
        <v>2019</v>
      </c>
      <c r="G18" s="20">
        <f>'LBO Model'!N5</f>
        <v>2020</v>
      </c>
      <c r="H18" s="20">
        <f>'LBO Model'!O5</f>
        <v>2021</v>
      </c>
      <c r="I18" s="20">
        <f>'LBO Model'!P5</f>
        <v>2022</v>
      </c>
      <c r="J18" s="20">
        <f>'LBO Model'!Q5</f>
        <v>2023</v>
      </c>
      <c r="K18" s="20">
        <f>'LBO Model'!R5</f>
        <v>2024</v>
      </c>
    </row>
    <row r="19" spans="2:11" s="103" customFormat="1" ht="5.25"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2:11">
      <c r="B20" s="118" t="s">
        <v>53</v>
      </c>
      <c r="C20" s="105"/>
      <c r="D20" s="113">
        <f>'LBO Model'!K10</f>
        <v>0.18062431243124313</v>
      </c>
      <c r="E20" s="113">
        <f>D20+$D$26</f>
        <v>0.20062431243124312</v>
      </c>
      <c r="F20" s="113">
        <f>E20</f>
        <v>0.20062431243124312</v>
      </c>
      <c r="G20" s="113">
        <f t="shared" ref="G20:K20" si="3">F20</f>
        <v>0.20062431243124312</v>
      </c>
      <c r="H20" s="113">
        <f t="shared" si="3"/>
        <v>0.20062431243124312</v>
      </c>
      <c r="I20" s="113">
        <f t="shared" si="3"/>
        <v>0.20062431243124312</v>
      </c>
      <c r="J20" s="113">
        <f t="shared" si="3"/>
        <v>0.20062431243124312</v>
      </c>
      <c r="K20" s="113">
        <f t="shared" si="3"/>
        <v>0.20062431243124312</v>
      </c>
    </row>
    <row r="21" spans="2:11">
      <c r="B21" s="118" t="s">
        <v>52</v>
      </c>
      <c r="C21" s="105"/>
      <c r="D21" s="113">
        <f>'LBO Model'!K10</f>
        <v>0.18062431243124313</v>
      </c>
      <c r="E21" s="113">
        <f>D21+D27</f>
        <v>0.18062431243124313</v>
      </c>
      <c r="F21" s="113">
        <f t="shared" ref="F21:K21" si="4">E21</f>
        <v>0.18062431243124313</v>
      </c>
      <c r="G21" s="113">
        <f t="shared" si="4"/>
        <v>0.18062431243124313</v>
      </c>
      <c r="H21" s="113">
        <f t="shared" si="4"/>
        <v>0.18062431243124313</v>
      </c>
      <c r="I21" s="113">
        <f t="shared" si="4"/>
        <v>0.18062431243124313</v>
      </c>
      <c r="J21" s="113">
        <f t="shared" si="4"/>
        <v>0.18062431243124313</v>
      </c>
      <c r="K21" s="113">
        <f t="shared" si="4"/>
        <v>0.18062431243124313</v>
      </c>
    </row>
    <row r="22" spans="2:11">
      <c r="B22" s="118" t="s">
        <v>54</v>
      </c>
      <c r="C22" s="105"/>
      <c r="D22" s="113">
        <f>'LBO Model'!K10</f>
        <v>0.18062431243124313</v>
      </c>
      <c r="E22" s="113">
        <f>D22+D28</f>
        <v>0.16062431243124314</v>
      </c>
      <c r="F22" s="114">
        <f>E22</f>
        <v>0.16062431243124314</v>
      </c>
      <c r="G22" s="114">
        <f t="shared" ref="G22:K22" si="5">F22</f>
        <v>0.16062431243124314</v>
      </c>
      <c r="H22" s="114">
        <f t="shared" si="5"/>
        <v>0.16062431243124314</v>
      </c>
      <c r="I22" s="114">
        <f t="shared" si="5"/>
        <v>0.16062431243124314</v>
      </c>
      <c r="J22" s="114">
        <f t="shared" si="5"/>
        <v>0.16062431243124314</v>
      </c>
      <c r="K22" s="114">
        <f t="shared" si="5"/>
        <v>0.16062431243124314</v>
      </c>
    </row>
    <row r="23" spans="2:11" s="103" customFormat="1" ht="5.25">
      <c r="B23" s="109"/>
      <c r="C23" s="109"/>
      <c r="D23" s="115"/>
      <c r="E23" s="115"/>
      <c r="F23" s="116"/>
      <c r="G23" s="116"/>
      <c r="H23" s="116"/>
      <c r="I23" s="116"/>
      <c r="J23" s="116"/>
      <c r="K23" s="116"/>
    </row>
    <row r="24" spans="2:11">
      <c r="B24" s="51" t="s">
        <v>62</v>
      </c>
      <c r="C24" s="50"/>
      <c r="D24" s="117">
        <f>IF('LBO Model'!$D$2="Base case",D21,IF('LBO Model'!$D$2="High case",D20,D22))</f>
        <v>0.18062431243124313</v>
      </c>
      <c r="E24" s="117">
        <f>IF('LBO Model'!$D$2="Base case",E21,IF('LBO Model'!$D$2="High case",E20,E22))</f>
        <v>0.18062431243124313</v>
      </c>
      <c r="F24" s="117">
        <f>IF('LBO Model'!$D$2="Base case",F21,IF('LBO Model'!$D$2="High case",F20,F22))</f>
        <v>0.18062431243124313</v>
      </c>
      <c r="G24" s="117">
        <f>IF('LBO Model'!$D$2="Base case",G21,IF('LBO Model'!$D$2="High case",G20,G22))</f>
        <v>0.18062431243124313</v>
      </c>
      <c r="H24" s="117">
        <f>IF('LBO Model'!$D$2="Base case",H21,IF('LBO Model'!$D$2="High case",H20,H22))</f>
        <v>0.18062431243124313</v>
      </c>
      <c r="I24" s="117">
        <f>IF('LBO Model'!$D$2="Base case",I21,IF('LBO Model'!$D$2="High case",I20,I22))</f>
        <v>0.18062431243124313</v>
      </c>
      <c r="J24" s="117">
        <f>IF('LBO Model'!$D$2="Base case",J21,IF('LBO Model'!$D$2="High case",J20,J22))</f>
        <v>0.18062431243124313</v>
      </c>
      <c r="K24" s="117">
        <f>IF('LBO Model'!$D$2="Base case",K21,IF('LBO Model'!$D$2="High case",K20,K22))</f>
        <v>0.18062431243124313</v>
      </c>
    </row>
    <row r="25" spans="2:11">
      <c r="B25" s="55"/>
    </row>
    <row r="26" spans="2:11">
      <c r="B26" s="101" t="s">
        <v>60</v>
      </c>
      <c r="D26" s="102">
        <v>0.02</v>
      </c>
    </row>
    <row r="27" spans="2:11">
      <c r="B27" s="101" t="s">
        <v>59</v>
      </c>
      <c r="D27" s="102">
        <v>0</v>
      </c>
    </row>
    <row r="28" spans="2:11">
      <c r="B28" s="101" t="s">
        <v>61</v>
      </c>
      <c r="D28" s="102">
        <v>-0.02</v>
      </c>
    </row>
    <row r="29" spans="2:11">
      <c r="B29" s="55"/>
    </row>
    <row r="38" spans="2:2">
      <c r="B38" s="100" t="s">
        <v>52</v>
      </c>
    </row>
    <row r="39" spans="2:2">
      <c r="B39" s="100" t="s">
        <v>53</v>
      </c>
    </row>
    <row r="40" spans="2:2">
      <c r="B40" s="100" t="s">
        <v>54</v>
      </c>
    </row>
    <row r="41" spans="2:2">
      <c r="B41" s="99"/>
    </row>
  </sheetData>
  <conditionalFormatting sqref="C2">
    <cfRule type="containsText" dxfId="2" priority="1" operator="containsText" text="Low case">
      <formula>NOT(ISERROR(SEARCH("Low case",C2)))</formula>
    </cfRule>
    <cfRule type="containsText" dxfId="1" priority="2" operator="containsText" text="High case">
      <formula>NOT(ISERROR(SEARCH("High case",C2)))</formula>
    </cfRule>
    <cfRule type="containsText" dxfId="0" priority="3" operator="containsText" text="Base case">
      <formula>NOT(ISERROR(SEARCH("Base case",C2)))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showGridLines="0" zoomScale="130" zoomScaleNormal="130" workbookViewId="0">
      <selection activeCell="G16" sqref="G16"/>
    </sheetView>
  </sheetViews>
  <sheetFormatPr defaultRowHeight="12.75"/>
  <cols>
    <col min="2" max="2" width="14.28515625" bestFit="1" customWidth="1"/>
  </cols>
  <sheetData>
    <row r="2" spans="2:9">
      <c r="B2" s="13" t="s">
        <v>15</v>
      </c>
      <c r="C2" s="13"/>
      <c r="D2" s="13"/>
      <c r="E2" s="13"/>
      <c r="F2" s="13"/>
      <c r="G2" s="13"/>
      <c r="H2" s="13"/>
      <c r="I2" s="13"/>
    </row>
    <row r="3" spans="2:9">
      <c r="B3" s="13"/>
      <c r="C3" s="13"/>
      <c r="D3" s="13"/>
      <c r="E3" s="13"/>
      <c r="F3" s="13"/>
      <c r="G3" s="13"/>
      <c r="H3" s="13"/>
      <c r="I3" s="13"/>
    </row>
    <row r="4" spans="2:9">
      <c r="B4" s="14"/>
      <c r="C4" s="14"/>
      <c r="D4" s="14"/>
      <c r="E4" s="14"/>
      <c r="F4" s="14"/>
      <c r="G4" s="14"/>
      <c r="H4" s="14"/>
      <c r="I4" s="14"/>
    </row>
    <row r="5" spans="2:9">
      <c r="B5" s="19"/>
      <c r="C5" s="136">
        <f>'LBO Model'!L5</f>
        <v>2018</v>
      </c>
      <c r="D5" s="136">
        <f>'LBO Model'!M5</f>
        <v>2019</v>
      </c>
      <c r="E5" s="136">
        <f>'LBO Model'!N5</f>
        <v>2020</v>
      </c>
      <c r="F5" s="136">
        <f>'LBO Model'!O5</f>
        <v>2021</v>
      </c>
      <c r="G5" s="136">
        <f>'LBO Model'!P5</f>
        <v>2022</v>
      </c>
      <c r="H5" s="136">
        <f>'LBO Model'!Q5</f>
        <v>2023</v>
      </c>
      <c r="I5" s="136">
        <f>'LBO Model'!R5</f>
        <v>2024</v>
      </c>
    </row>
    <row r="6" spans="2:9" s="98" customFormat="1" ht="5.25">
      <c r="B6" s="129"/>
      <c r="C6" s="129"/>
      <c r="D6" s="129"/>
      <c r="E6" s="129"/>
      <c r="F6" s="129"/>
      <c r="G6" s="129"/>
      <c r="H6" s="129"/>
      <c r="I6" s="129"/>
    </row>
    <row r="7" spans="2:9">
      <c r="B7" s="12" t="s">
        <v>16</v>
      </c>
      <c r="C7" s="41">
        <f ca="1">'LBO Model'!L22/'LBO Model'!L9</f>
        <v>3.4889661097094682</v>
      </c>
      <c r="D7" s="41">
        <f ca="1">'LBO Model'!M22/'LBO Model'!M9</f>
        <v>2.9751421680403407</v>
      </c>
      <c r="E7" s="41">
        <f ca="1">'LBO Model'!N22/'LBO Model'!N9</f>
        <v>2.4585129423694121</v>
      </c>
      <c r="F7" s="41">
        <f ca="1">'LBO Model'!O22/'LBO Model'!O9</f>
        <v>1.9390631169091292</v>
      </c>
      <c r="G7" s="41">
        <f ca="1">'LBO Model'!P22/'LBO Model'!P9</f>
        <v>1.4167772922535422</v>
      </c>
      <c r="H7" s="41">
        <f ca="1">'LBO Model'!Q22/'LBO Model'!Q9</f>
        <v>0.89163998492177998</v>
      </c>
      <c r="I7" s="41">
        <f ca="1">'LBO Model'!R22/'LBO Model'!R9</f>
        <v>0.36363562689903484</v>
      </c>
    </row>
    <row r="8" spans="2:9">
      <c r="B8" s="12" t="s">
        <v>17</v>
      </c>
      <c r="C8" s="41">
        <f ca="1">'LBO Model'!L9/-'LBO Model'!L14</f>
        <v>5.4255965022568828</v>
      </c>
      <c r="D8" s="41">
        <f ca="1">'LBO Model'!M9/-'LBO Model'!M14</f>
        <v>6.2868488857406142</v>
      </c>
      <c r="E8" s="41">
        <f ca="1">'LBO Model'!N9/-'LBO Model'!N14</f>
        <v>7.4808296948027477</v>
      </c>
      <c r="F8" s="41">
        <f ca="1">'LBO Model'!O9/-'LBO Model'!O14</f>
        <v>9.2464835166991453</v>
      </c>
      <c r="G8" s="41">
        <f ca="1">'LBO Model'!P9/-'LBO Model'!P14</f>
        <v>12.123552912374873</v>
      </c>
      <c r="H8" s="41">
        <f ca="1">'LBO Model'!Q9/-'LBO Model'!Q14</f>
        <v>17.643281714894037</v>
      </c>
      <c r="I8" s="41">
        <f ca="1">IF(ISERROR('LBO Model'!R9/-'LBO Model'!R14), 0, 'LBO Model'!R9/-'LBO Model'!R14)</f>
        <v>32.538697261423714</v>
      </c>
    </row>
    <row r="9" spans="2:9">
      <c r="B9" s="12" t="s">
        <v>18</v>
      </c>
      <c r="C9" s="24">
        <f ca="1">('LBO Model'!$K$22-'LBO Model'!L22)/'LBO Model'!$K$22</f>
        <v>0.10159122674981183</v>
      </c>
      <c r="D9" s="24">
        <f ca="1">('LBO Model'!$K$22-'LBO Model'!M22)/'LBO Model'!$K$22</f>
        <v>0.2109179184815006</v>
      </c>
      <c r="E9" s="24">
        <f ca="1">('LBO Model'!$K$22-'LBO Model'!N22)/'LBO Model'!$K$22</f>
        <v>0.32837913200587482</v>
      </c>
      <c r="F9" s="24">
        <f ca="1">('LBO Model'!$K$22-'LBO Model'!O22)/'LBO Model'!$K$22</f>
        <v>0.45439184469317873</v>
      </c>
      <c r="G9" s="24">
        <f ca="1">('LBO Model'!$K$22-'LBO Model'!P22)/'LBO Model'!$K$22</f>
        <v>0.58939170400837859</v>
      </c>
      <c r="H9" s="24">
        <f ca="1">('LBO Model'!$K$22-'LBO Model'!Q22)/'LBO Model'!$K$22</f>
        <v>0.73383380708176638</v>
      </c>
      <c r="I9" s="24">
        <f ca="1">('LBO Model'!$K$22-'LBO Model'!R22)/'LBO Model'!$K$22</f>
        <v>0.88819351148487202</v>
      </c>
    </row>
    <row r="10" spans="2:9" s="98" customFormat="1" ht="5.25">
      <c r="B10" s="97"/>
      <c r="C10" s="97"/>
      <c r="D10" s="97"/>
      <c r="E10" s="97"/>
      <c r="F10" s="97"/>
      <c r="G10" s="97"/>
      <c r="H10" s="97"/>
      <c r="I10" s="9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C17" sqref="C17"/>
    </sheetView>
  </sheetViews>
  <sheetFormatPr defaultRowHeight="12.75"/>
  <cols>
    <col min="2" max="2" width="13.140625" customWidth="1"/>
    <col min="3" max="3" width="0.85546875" style="154" customWidth="1"/>
    <col min="4" max="4" width="40.140625" bestFit="1" customWidth="1"/>
  </cols>
  <sheetData>
    <row r="2" spans="2:4">
      <c r="B2" s="149"/>
      <c r="C2" s="149"/>
      <c r="D2" s="149"/>
    </row>
    <row r="3" spans="2:4" ht="15.75">
      <c r="B3" s="160" t="s">
        <v>72</v>
      </c>
      <c r="C3" s="156"/>
      <c r="D3" s="155"/>
    </row>
    <row r="4" spans="2:4" s="98" customFormat="1" ht="5.25">
      <c r="C4" s="159"/>
    </row>
    <row r="5" spans="2:4">
      <c r="B5" s="147"/>
      <c r="D5" s="152" t="s">
        <v>68</v>
      </c>
    </row>
    <row r="6" spans="2:4">
      <c r="B6" s="146"/>
      <c r="D6" s="151" t="s">
        <v>69</v>
      </c>
    </row>
    <row r="7" spans="2:4">
      <c r="B7" s="150"/>
      <c r="D7" s="153" t="s">
        <v>70</v>
      </c>
    </row>
    <row r="8" spans="2:4">
      <c r="B8" s="148"/>
      <c r="D8" s="161" t="s">
        <v>71</v>
      </c>
    </row>
    <row r="9" spans="2:4" s="98" customFormat="1" ht="5.25">
      <c r="B9" s="157"/>
      <c r="C9" s="158"/>
      <c r="D9" s="15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</vt:i4>
      </vt:variant>
    </vt:vector>
  </HeadingPairs>
  <TitlesOfParts>
    <vt:vector size="7" baseType="lpstr">
      <vt:lpstr>Cover</vt:lpstr>
      <vt:lpstr>Input</vt:lpstr>
      <vt:lpstr>LBO Model</vt:lpstr>
      <vt:lpstr>Case selector</vt:lpstr>
      <vt:lpstr>Credit statistics</vt:lpstr>
      <vt:lpstr>Notes</vt:lpstr>
      <vt:lpstr>'LBO Model'!Utskriftsområde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2018-03-20T12:44:34Z</dcterms:created>
  <dcterms:modified xsi:type="dcterms:W3CDTF">2018-03-20T13:30:01Z</dcterms:modified>
</cp:coreProperties>
</file>